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imulateurs\Social\"/>
    </mc:Choice>
  </mc:AlternateContent>
  <xr:revisionPtr revIDLastSave="0" documentId="13_ncr:1_{3DD5C4DC-0C12-4465-A83D-31961BDAFEB3}" xr6:coauthVersionLast="47" xr6:coauthVersionMax="47" xr10:uidLastSave="{00000000-0000-0000-0000-000000000000}"/>
  <bookViews>
    <workbookView xWindow="-28920" yWindow="-120" windowWidth="29040" windowHeight="15720" xr2:uid="{84A4F919-E43A-4E26-A441-EF40C6F414C6}"/>
  </bookViews>
  <sheets>
    <sheet name="Feuil1" sheetId="1" r:id="rId1"/>
    <sheet name="2019" sheetId="2" r:id="rId2"/>
    <sheet name="2020" sheetId="3" r:id="rId3"/>
    <sheet name="2021" sheetId="4" r:id="rId4"/>
    <sheet name="202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" i="4" l="1"/>
  <c r="H20" i="4"/>
  <c r="G22" i="5"/>
  <c r="F13" i="4"/>
  <c r="E13" i="3"/>
  <c r="E13" i="2"/>
  <c r="G21" i="3"/>
  <c r="H21" i="3" s="1"/>
  <c r="G21" i="2"/>
  <c r="E15" i="5"/>
  <c r="Q14" i="5"/>
  <c r="P24" i="5"/>
  <c r="O24" i="5"/>
  <c r="N24" i="5"/>
  <c r="R21" i="4" l="1"/>
  <c r="P22" i="5" l="1"/>
  <c r="R22" i="5" s="1"/>
  <c r="Q18" i="5"/>
  <c r="Q16" i="5"/>
  <c r="R14" i="5"/>
  <c r="S14" i="5" s="1"/>
  <c r="P14" i="5"/>
  <c r="Q13" i="5"/>
  <c r="Q11" i="5"/>
  <c r="P11" i="5"/>
  <c r="Q10" i="5"/>
  <c r="P10" i="5"/>
  <c r="Q9" i="5"/>
  <c r="P9" i="5"/>
  <c r="S12" i="4"/>
  <c r="T12" i="4" s="1"/>
  <c r="Q12" i="4"/>
  <c r="Q12" i="5" l="1"/>
  <c r="Q19" i="5"/>
  <c r="H8" i="5" s="1"/>
  <c r="P12" i="5"/>
  <c r="H22" i="5" s="1"/>
  <c r="G23" i="5"/>
  <c r="H23" i="5" l="1"/>
  <c r="P16" i="5" s="1"/>
  <c r="H21" i="4"/>
  <c r="P15" i="5"/>
  <c r="H27" i="5" l="1"/>
  <c r="H33" i="5" l="1"/>
  <c r="H32" i="5"/>
  <c r="R11" i="4"/>
  <c r="H19" i="4" s="1"/>
  <c r="R9" i="4"/>
  <c r="Q9" i="4"/>
  <c r="P9" i="4"/>
  <c r="R8" i="4"/>
  <c r="Q8" i="4"/>
  <c r="P8" i="4"/>
  <c r="R7" i="4"/>
  <c r="Q7" i="4"/>
  <c r="P7" i="4"/>
  <c r="Q11" i="3"/>
  <c r="G19" i="3" s="1"/>
  <c r="Q9" i="3"/>
  <c r="P9" i="3"/>
  <c r="O9" i="3"/>
  <c r="Q8" i="3"/>
  <c r="P8" i="3"/>
  <c r="O8" i="3"/>
  <c r="Q7" i="3"/>
  <c r="Q10" i="3" s="1"/>
  <c r="P7" i="3"/>
  <c r="O7" i="3"/>
  <c r="Q9" i="2"/>
  <c r="P9" i="2"/>
  <c r="O9" i="2"/>
  <c r="Q8" i="2"/>
  <c r="P8" i="2"/>
  <c r="O8" i="2"/>
  <c r="Q7" i="2"/>
  <c r="P7" i="2"/>
  <c r="O7" i="2"/>
  <c r="P10" i="3" l="1"/>
  <c r="P13" i="3" s="1"/>
  <c r="R10" i="4"/>
  <c r="I21" i="4" s="1"/>
  <c r="P10" i="4"/>
  <c r="I19" i="4" s="1"/>
  <c r="Q10" i="4"/>
  <c r="I20" i="4" s="1"/>
  <c r="Q14" i="4" s="1"/>
  <c r="O10" i="3"/>
  <c r="H19" i="3" s="1"/>
  <c r="H20" i="3"/>
  <c r="P10" i="2"/>
  <c r="H20" i="2" s="1"/>
  <c r="Q10" i="2"/>
  <c r="H21" i="2" s="1"/>
  <c r="O10" i="2"/>
  <c r="H19" i="2" s="1"/>
  <c r="Q13" i="4" l="1"/>
  <c r="I25" i="4"/>
  <c r="P14" i="3"/>
  <c r="H25" i="3" s="1"/>
  <c r="P14" i="2"/>
  <c r="P13" i="2"/>
  <c r="I31" i="4" l="1"/>
  <c r="I30" i="4"/>
  <c r="H30" i="3"/>
  <c r="H31" i="3"/>
  <c r="H25" i="2"/>
  <c r="H30" i="2" l="1"/>
  <c r="H31" i="2"/>
</calcChain>
</file>

<file path=xl/sharedStrings.xml><?xml version="1.0" encoding="utf-8"?>
<sst xmlns="http://schemas.openxmlformats.org/spreadsheetml/2006/main" count="114" uniqueCount="38">
  <si>
    <t>Date de début d'activité micro-entrepreneur</t>
  </si>
  <si>
    <t>Ventes</t>
  </si>
  <si>
    <t>Prestations</t>
  </si>
  <si>
    <t>Libéral</t>
  </si>
  <si>
    <t xml:space="preserve">Pour neutraliser l'année 2020, cochez ici </t>
  </si>
  <si>
    <t>Montant</t>
  </si>
  <si>
    <t>prestations</t>
  </si>
  <si>
    <t>Total</t>
  </si>
  <si>
    <t>Indiquez vos chiffres d'affaires sans abattement</t>
  </si>
  <si>
    <t>Année</t>
  </si>
  <si>
    <t>Jours cotisés</t>
  </si>
  <si>
    <t>Assiette cotisée</t>
  </si>
  <si>
    <t>Annulation 2020</t>
  </si>
  <si>
    <t>RAAM sans 2020</t>
  </si>
  <si>
    <t>RAAM avec 2020</t>
  </si>
  <si>
    <t>RAAM minimum</t>
  </si>
  <si>
    <t>IJ mini</t>
  </si>
  <si>
    <t xml:space="preserve">IJ </t>
  </si>
  <si>
    <t>ARM Mini</t>
  </si>
  <si>
    <t>Indemnités journalières maternité</t>
  </si>
  <si>
    <t>Allocation repos maternel</t>
  </si>
  <si>
    <t>Nbre jours</t>
  </si>
  <si>
    <t>Date de début du congé maternité en 2023</t>
  </si>
  <si>
    <t>RAAM</t>
  </si>
  <si>
    <t>RAAM/assiette cotisée</t>
  </si>
  <si>
    <t>Date de début activité ME en 2021</t>
  </si>
  <si>
    <t>Date de début activité ME en 2022</t>
  </si>
  <si>
    <t>Validation 10</t>
  </si>
  <si>
    <t>Date probable d'accouchement en 2023</t>
  </si>
  <si>
    <t>DPA</t>
  </si>
  <si>
    <t>© UPSME Janvier 2023</t>
  </si>
  <si>
    <t>contact@upsme.fr</t>
  </si>
  <si>
    <t>Détermination CA à prendre en 2022</t>
  </si>
  <si>
    <t>Détermination CA à prendre en 2023</t>
  </si>
  <si>
    <t>Périodicité déclaration CA</t>
  </si>
  <si>
    <t>Mensuelle</t>
  </si>
  <si>
    <t>Trimestrielle</t>
  </si>
  <si>
    <t>Périodicité de déclaration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</si>
</sst>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  <numFmt numFmtId="166" formatCode="dd/mm/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Montserrat"/>
    </font>
    <font>
      <sz val="10"/>
      <color theme="0"/>
      <name val="Montserrat"/>
    </font>
    <font>
      <sz val="10"/>
      <color theme="1" tint="0.249977111117893"/>
      <name val="Montserrat"/>
    </font>
    <font>
      <sz val="11"/>
      <color theme="1" tint="0.249977111117893"/>
      <name val="Montserrat"/>
    </font>
    <font>
      <sz val="10"/>
      <color theme="1" tint="0.34998626667073579"/>
      <name val="Segoe UI"/>
      <family val="2"/>
    </font>
    <font>
      <sz val="12"/>
      <color theme="1" tint="0.249977111117893"/>
      <name val="Montserrat"/>
    </font>
    <font>
      <sz val="11"/>
      <color theme="1" tint="0.14999847407452621"/>
      <name val="Montserrat"/>
    </font>
    <font>
      <sz val="11"/>
      <color theme="1"/>
      <name val="Montserrat"/>
    </font>
    <font>
      <b/>
      <sz val="12"/>
      <color theme="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Montserrat"/>
    </font>
    <font>
      <b/>
      <u/>
      <sz val="12"/>
      <color theme="0"/>
      <name val="Montserrat"/>
    </font>
    <font>
      <b/>
      <sz val="11"/>
      <color rgb="FFFF0000"/>
      <name val="Montserrat"/>
    </font>
    <font>
      <b/>
      <sz val="11"/>
      <color theme="0"/>
      <name val="Montserrat"/>
    </font>
    <font>
      <sz val="11"/>
      <color theme="7" tint="0.39997558519241921"/>
      <name val="Montserrat"/>
    </font>
    <font>
      <b/>
      <sz val="10"/>
      <color rgb="FFFF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lightGray">
        <fgColor theme="1" tint="0.2499465926084170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/>
      <top/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1" tint="0.24994659260841701"/>
      </left>
      <right style="thin">
        <color theme="0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thin">
        <color theme="0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thin">
        <color theme="0"/>
      </bottom>
      <diagonal/>
    </border>
    <border>
      <left style="hair">
        <color theme="1" tint="0.24994659260841701"/>
      </left>
      <right style="thin">
        <color theme="0"/>
      </right>
      <top style="hair">
        <color theme="1" tint="0.24994659260841701"/>
      </top>
      <bottom style="thin">
        <color theme="0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1" tint="0.24994659260841701"/>
      </bottom>
      <diagonal/>
    </border>
    <border>
      <left/>
      <right/>
      <top style="thin">
        <color theme="0"/>
      </top>
      <bottom style="thin">
        <color theme="1" tint="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hair">
        <color theme="1" tint="0.24994659260841701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24994659260841701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24994659260841701"/>
      </right>
      <top style="hair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 applyAlignment="1">
      <alignment horizontal="left" vertical="center"/>
    </xf>
    <xf numFmtId="166" fontId="3" fillId="2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44" fontId="4" fillId="0" borderId="0" xfId="0" applyNumberFormat="1" applyFont="1"/>
    <xf numFmtId="44" fontId="1" fillId="2" borderId="0" xfId="0" applyNumberFormat="1" applyFont="1" applyFill="1"/>
    <xf numFmtId="44" fontId="4" fillId="0" borderId="2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6" xfId="0" applyNumberFormat="1" applyFont="1" applyBorder="1" applyAlignment="1" applyProtection="1">
      <alignment horizontal="center" vertical="center"/>
      <protection locked="0"/>
    </xf>
    <xf numFmtId="165" fontId="3" fillId="0" borderId="7" xfId="0" applyNumberFormat="1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19" xfId="0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/>
    <xf numFmtId="0" fontId="12" fillId="2" borderId="0" xfId="1" applyFont="1" applyFill="1"/>
    <xf numFmtId="14" fontId="1" fillId="2" borderId="0" xfId="0" applyNumberFormat="1" applyFont="1" applyFill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3" fillId="2" borderId="2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4" fontId="1" fillId="2" borderId="21" xfId="0" applyNumberFormat="1" applyFont="1" applyFill="1" applyBorder="1"/>
    <xf numFmtId="0" fontId="1" fillId="2" borderId="21" xfId="0" applyFont="1" applyFill="1" applyBorder="1"/>
    <xf numFmtId="0" fontId="3" fillId="4" borderId="14" xfId="0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 applyProtection="1">
      <alignment horizontal="center" vertical="center"/>
      <protection locked="0"/>
    </xf>
    <xf numFmtId="14" fontId="4" fillId="0" borderId="23" xfId="0" applyNumberFormat="1" applyFont="1" applyBorder="1" applyAlignment="1" applyProtection="1">
      <alignment horizontal="center" vertical="center"/>
      <protection locked="0"/>
    </xf>
    <xf numFmtId="14" fontId="4" fillId="0" borderId="23" xfId="0" applyNumberFormat="1" applyFont="1" applyBorder="1" applyAlignment="1">
      <alignment horizontal="center" vertical="center"/>
    </xf>
    <xf numFmtId="14" fontId="4" fillId="0" borderId="24" xfId="0" applyNumberFormat="1" applyFont="1" applyBorder="1" applyAlignment="1" applyProtection="1">
      <alignment horizontal="center" vertical="center"/>
      <protection locked="0"/>
    </xf>
    <xf numFmtId="14" fontId="4" fillId="0" borderId="26" xfId="0" applyNumberFormat="1" applyFont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14" fontId="4" fillId="4" borderId="25" xfId="0" applyNumberFormat="1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8">
    <dxf>
      <numFmt numFmtId="167" formatCode="&quot;&quot;"/>
      <fill>
        <patternFill patternType="lightGray"/>
      </fill>
    </dxf>
    <dxf>
      <numFmt numFmtId="167" formatCode="&quot;&quot;"/>
    </dxf>
    <dxf>
      <numFmt numFmtId="167" formatCode="&quot;&quot;"/>
      <fill>
        <patternFill patternType="lightGray"/>
      </fill>
    </dxf>
    <dxf>
      <numFmt numFmtId="167" formatCode="&quot;&quot;"/>
      <fill>
        <patternFill patternType="lightGray"/>
      </fill>
    </dxf>
    <dxf>
      <numFmt numFmtId="167" formatCode="&quot;&quot;"/>
      <fill>
        <patternFill patternType="lightGray"/>
      </fill>
    </dxf>
    <dxf>
      <numFmt numFmtId="167" formatCode="&quot;&quot;"/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AFAF"/>
      <color rgb="FF8BD1CF"/>
      <color rgb="FF00B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P$12"/>
</file>

<file path=xl/ctrlProps/ctrlProp2.xml><?xml version="1.0" encoding="utf-8"?>
<formControlPr xmlns="http://schemas.microsoft.com/office/spreadsheetml/2009/9/main" objectType="CheckBox" fmlaLink="$P$12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hyperlink" Target="#'2021'!H6"/><Relationship Id="rId7" Type="http://schemas.openxmlformats.org/officeDocument/2006/relationships/image" Target="../media/image2.png"/><Relationship Id="rId2" Type="http://schemas.openxmlformats.org/officeDocument/2006/relationships/hyperlink" Target="#'2020'!H6"/><Relationship Id="rId1" Type="http://schemas.openxmlformats.org/officeDocument/2006/relationships/hyperlink" Target="#'2019'!H6"/><Relationship Id="rId6" Type="http://schemas.openxmlformats.org/officeDocument/2006/relationships/image" Target="../media/image1.png"/><Relationship Id="rId5" Type="http://schemas.openxmlformats.org/officeDocument/2006/relationships/hyperlink" Target="https://upsme.fr/" TargetMode="External"/><Relationship Id="rId4" Type="http://schemas.openxmlformats.org/officeDocument/2006/relationships/hyperlink" Target="#'2022'!H6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https://upsme.fr/" TargetMode="External"/><Relationship Id="rId1" Type="http://schemas.openxmlformats.org/officeDocument/2006/relationships/hyperlink" Target="#Feuil1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https://upsme.fr/" TargetMode="External"/><Relationship Id="rId1" Type="http://schemas.openxmlformats.org/officeDocument/2006/relationships/hyperlink" Target="#Feuil1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https://upsme.fr/" TargetMode="External"/><Relationship Id="rId1" Type="http://schemas.openxmlformats.org/officeDocument/2006/relationships/hyperlink" Target="#Feuil1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https://upsme.fr/" TargetMode="External"/><Relationship Id="rId1" Type="http://schemas.openxmlformats.org/officeDocument/2006/relationships/hyperlink" Target="#Feuil1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10</xdr:row>
      <xdr:rowOff>38100</xdr:rowOff>
    </xdr:from>
    <xdr:to>
      <xdr:col>20</xdr:col>
      <xdr:colOff>323850</xdr:colOff>
      <xdr:row>22</xdr:row>
      <xdr:rowOff>63500</xdr:rowOff>
    </xdr:to>
    <xdr:grpSp>
      <xdr:nvGrpSpPr>
        <xdr:cNvPr id="19" name="Group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1847850" y="1943100"/>
          <a:ext cx="13716000" cy="2311400"/>
          <a:chOff x="504825" y="304800"/>
          <a:chExt cx="13716000" cy="2143125"/>
        </a:xfrm>
      </xdr:grpSpPr>
      <xdr:sp macro="" textlink="">
        <xdr:nvSpPr>
          <xdr:cNvPr id="2" name="Rectangle : coins arrondis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504825" y="304800"/>
            <a:ext cx="3305175" cy="2133600"/>
          </a:xfrm>
          <a:prstGeom prst="roundRect">
            <a:avLst>
              <a:gd name="adj" fmla="val 6228"/>
            </a:avLst>
          </a:prstGeom>
          <a:solidFill>
            <a:schemeClr val="tx1">
              <a:lumMod val="65000"/>
              <a:lumOff val="3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fr-FR" sz="1200" b="1">
              <a:latin typeface="Montserrat" panose="02000505000000020004" pitchFamily="2" charset="0"/>
            </a:endParaRPr>
          </a:p>
          <a:p>
            <a:pPr algn="ctr"/>
            <a:r>
              <a:rPr lang="fr-FR" sz="1200" b="1">
                <a:latin typeface="Montserrat" panose="02000505000000020004" pitchFamily="2" charset="0"/>
              </a:rPr>
              <a:t>CHOIX 1</a:t>
            </a:r>
          </a:p>
          <a:p>
            <a:pPr algn="ctr"/>
            <a:r>
              <a:rPr lang="fr-FR" sz="1100">
                <a:latin typeface="Montserrat" panose="02000505000000020004" pitchFamily="2" charset="0"/>
              </a:rPr>
              <a:t>Début d'activité micro-entreprise avant</a:t>
            </a:r>
            <a:r>
              <a:rPr lang="fr-FR" sz="1100" baseline="0">
                <a:latin typeface="Montserrat" panose="02000505000000020004" pitchFamily="2" charset="0"/>
              </a:rPr>
              <a:t> le</a:t>
            </a:r>
          </a:p>
          <a:p>
            <a:pPr algn="ctr"/>
            <a:r>
              <a:rPr lang="fr-FR" sz="1200" u="sng" baseline="0">
                <a:latin typeface="Montserrat" panose="02000505000000020004" pitchFamily="2" charset="0"/>
              </a:rPr>
              <a:t>31 décembre 2019 </a:t>
            </a:r>
            <a:endParaRPr lang="fr-FR" sz="1200" u="sng">
              <a:latin typeface="Montserrat" panose="02000505000000020004" pitchFamily="2" charset="0"/>
            </a:endParaRPr>
          </a:p>
        </xdr:txBody>
      </xdr:sp>
      <xdr:sp macro="" textlink="">
        <xdr:nvSpPr>
          <xdr:cNvPr id="3" name="Triangle isocè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 rot="10800000">
            <a:off x="1990725" y="1266825"/>
            <a:ext cx="352425" cy="276225"/>
          </a:xfrm>
          <a:prstGeom prst="triangle">
            <a:avLst/>
          </a:prstGeom>
          <a:solidFill>
            <a:srgbClr val="00BA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" name="Rectangle : en biseau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676400" y="1685925"/>
            <a:ext cx="971550" cy="361950"/>
          </a:xfrm>
          <a:prstGeom prst="bevel">
            <a:avLst/>
          </a:prstGeom>
          <a:solidFill>
            <a:srgbClr val="00BA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100">
                <a:latin typeface="Montserrat" panose="02000505000000020004" pitchFamily="2" charset="0"/>
              </a:rPr>
              <a:t>Simuler</a:t>
            </a:r>
          </a:p>
        </xdr:txBody>
      </xdr:sp>
      <xdr:sp macro="" textlink="">
        <xdr:nvSpPr>
          <xdr:cNvPr id="5" name="Rectangle : coins arrondis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975100" y="307975"/>
            <a:ext cx="3305175" cy="2133600"/>
          </a:xfrm>
          <a:prstGeom prst="roundRect">
            <a:avLst>
              <a:gd name="adj" fmla="val 6228"/>
            </a:avLst>
          </a:prstGeom>
          <a:solidFill>
            <a:schemeClr val="tx1">
              <a:lumMod val="65000"/>
              <a:lumOff val="3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fr-FR" sz="1200" b="1">
              <a:latin typeface="Montserrat" panose="02000505000000020004" pitchFamily="2" charset="0"/>
            </a:endParaRPr>
          </a:p>
          <a:p>
            <a:pPr algn="ctr"/>
            <a:r>
              <a:rPr lang="fr-FR" sz="1200" b="1">
                <a:latin typeface="Montserrat" panose="02000505000000020004" pitchFamily="2" charset="0"/>
              </a:rPr>
              <a:t>CHOIX 2</a:t>
            </a:r>
          </a:p>
          <a:p>
            <a:pPr algn="ctr"/>
            <a:r>
              <a:rPr lang="fr-FR" sz="1100">
                <a:latin typeface="Montserrat" panose="02000505000000020004" pitchFamily="2" charset="0"/>
              </a:rPr>
              <a:t>Début d'activité micro-entreprise en</a:t>
            </a:r>
            <a:endParaRPr lang="fr-FR" sz="1100" baseline="0">
              <a:latin typeface="Montserrat" panose="02000505000000020004" pitchFamily="2" charset="0"/>
            </a:endParaRPr>
          </a:p>
          <a:p>
            <a:pPr algn="ctr"/>
            <a:r>
              <a:rPr lang="fr-FR" sz="1200" u="sng" baseline="0">
                <a:latin typeface="Montserrat" panose="02000505000000020004" pitchFamily="2" charset="0"/>
              </a:rPr>
              <a:t>2020 </a:t>
            </a:r>
            <a:endParaRPr lang="fr-FR" sz="1200" u="sng">
              <a:latin typeface="Montserrat" panose="02000505000000020004" pitchFamily="2" charset="0"/>
            </a:endParaRPr>
          </a:p>
        </xdr:txBody>
      </xdr:sp>
      <xdr:sp macro="" textlink="">
        <xdr:nvSpPr>
          <xdr:cNvPr id="6" name="Triangle isocè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 rot="10800000">
            <a:off x="5438775" y="1266825"/>
            <a:ext cx="352425" cy="276225"/>
          </a:xfrm>
          <a:prstGeom prst="triangle">
            <a:avLst/>
          </a:prstGeom>
          <a:solidFill>
            <a:srgbClr val="00BA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" name="Rectangle : en biseau 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5124450" y="1685925"/>
            <a:ext cx="971550" cy="361950"/>
          </a:xfrm>
          <a:prstGeom prst="bevel">
            <a:avLst/>
          </a:prstGeom>
          <a:solidFill>
            <a:srgbClr val="00BA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100">
                <a:latin typeface="Montserrat" panose="02000505000000020004" pitchFamily="2" charset="0"/>
              </a:rPr>
              <a:t>Simuler</a:t>
            </a:r>
          </a:p>
        </xdr:txBody>
      </xdr:sp>
      <xdr:sp macro="" textlink="">
        <xdr:nvSpPr>
          <xdr:cNvPr id="8" name="Rectangle : coins arrondis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7445375" y="311150"/>
            <a:ext cx="3305175" cy="2133600"/>
          </a:xfrm>
          <a:prstGeom prst="roundRect">
            <a:avLst>
              <a:gd name="adj" fmla="val 6228"/>
            </a:avLst>
          </a:prstGeom>
          <a:solidFill>
            <a:schemeClr val="tx1">
              <a:lumMod val="65000"/>
              <a:lumOff val="3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fr-FR" sz="1200" b="1">
              <a:latin typeface="Montserrat" panose="02000505000000020004" pitchFamily="2" charset="0"/>
            </a:endParaRPr>
          </a:p>
          <a:p>
            <a:pPr algn="ctr"/>
            <a:r>
              <a:rPr lang="fr-FR" sz="1200" b="1">
                <a:latin typeface="Montserrat" panose="02000505000000020004" pitchFamily="2" charset="0"/>
              </a:rPr>
              <a:t>CHOIX 3</a:t>
            </a:r>
          </a:p>
          <a:p>
            <a:pPr algn="ctr"/>
            <a:r>
              <a:rPr lang="fr-FR" sz="1100">
                <a:latin typeface="Montserrat" panose="02000505000000020004" pitchFamily="2" charset="0"/>
              </a:rPr>
              <a:t>Début d'activité micro-entreprise en</a:t>
            </a:r>
            <a:endParaRPr lang="fr-FR" sz="1100" baseline="0">
              <a:latin typeface="Montserrat" panose="02000505000000020004" pitchFamily="2" charset="0"/>
            </a:endParaRPr>
          </a:p>
          <a:p>
            <a:pPr algn="ctr"/>
            <a:r>
              <a:rPr lang="fr-FR" sz="1200" u="sng" baseline="0">
                <a:latin typeface="Montserrat" panose="02000505000000020004" pitchFamily="2" charset="0"/>
              </a:rPr>
              <a:t>2021 </a:t>
            </a:r>
            <a:endParaRPr lang="fr-FR" sz="1200" u="sng">
              <a:latin typeface="Montserrat" panose="02000505000000020004" pitchFamily="2" charset="0"/>
            </a:endParaRPr>
          </a:p>
        </xdr:txBody>
      </xdr:sp>
      <xdr:sp macro="" textlink="">
        <xdr:nvSpPr>
          <xdr:cNvPr id="9" name="Triangle isocèl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 rot="10800000">
            <a:off x="8924925" y="1276350"/>
            <a:ext cx="352425" cy="276225"/>
          </a:xfrm>
          <a:prstGeom prst="triangle">
            <a:avLst/>
          </a:prstGeom>
          <a:solidFill>
            <a:srgbClr val="00BA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0" name="Rectangle : en biseau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8610600" y="1695450"/>
            <a:ext cx="971550" cy="361950"/>
          </a:xfrm>
          <a:prstGeom prst="bevel">
            <a:avLst/>
          </a:prstGeom>
          <a:solidFill>
            <a:srgbClr val="00BA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100">
                <a:latin typeface="Montserrat" panose="02000505000000020004" pitchFamily="2" charset="0"/>
              </a:rPr>
              <a:t>Simuler</a:t>
            </a:r>
          </a:p>
        </xdr:txBody>
      </xdr:sp>
      <xdr:sp macro="" textlink="">
        <xdr:nvSpPr>
          <xdr:cNvPr id="11" name="Rectangle : coins arrondis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10915650" y="314325"/>
            <a:ext cx="3305175" cy="2133600"/>
          </a:xfrm>
          <a:prstGeom prst="roundRect">
            <a:avLst>
              <a:gd name="adj" fmla="val 6228"/>
            </a:avLst>
          </a:prstGeom>
          <a:solidFill>
            <a:schemeClr val="tx1">
              <a:lumMod val="65000"/>
              <a:lumOff val="3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fr-FR" sz="1200" b="1">
              <a:latin typeface="Montserrat" panose="02000505000000020004" pitchFamily="2" charset="0"/>
            </a:endParaRPr>
          </a:p>
          <a:p>
            <a:pPr algn="ctr"/>
            <a:r>
              <a:rPr lang="fr-FR" sz="1200" b="1">
                <a:latin typeface="Montserrat" panose="02000505000000020004" pitchFamily="2" charset="0"/>
              </a:rPr>
              <a:t>CHOIX 4</a:t>
            </a:r>
          </a:p>
          <a:p>
            <a:pPr algn="ctr"/>
            <a:r>
              <a:rPr lang="fr-FR" sz="1100">
                <a:latin typeface="Montserrat" panose="02000505000000020004" pitchFamily="2" charset="0"/>
              </a:rPr>
              <a:t>Début d'activité micro-entreprise en</a:t>
            </a:r>
            <a:endParaRPr lang="fr-FR" sz="1100" baseline="0">
              <a:latin typeface="Montserrat" panose="02000505000000020004" pitchFamily="2" charset="0"/>
            </a:endParaRPr>
          </a:p>
          <a:p>
            <a:pPr algn="ctr"/>
            <a:r>
              <a:rPr lang="fr-FR" sz="1200" u="sng" baseline="0">
                <a:latin typeface="Montserrat" panose="02000505000000020004" pitchFamily="2" charset="0"/>
              </a:rPr>
              <a:t>2022 </a:t>
            </a:r>
            <a:endParaRPr lang="fr-FR" sz="1200" u="sng">
              <a:latin typeface="Montserrat" panose="02000505000000020004" pitchFamily="2" charset="0"/>
            </a:endParaRPr>
          </a:p>
        </xdr:txBody>
      </xdr:sp>
      <xdr:sp macro="" textlink="">
        <xdr:nvSpPr>
          <xdr:cNvPr id="12" name="Triangle isocè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10800000">
            <a:off x="12401550" y="1276350"/>
            <a:ext cx="352425" cy="276225"/>
          </a:xfrm>
          <a:prstGeom prst="triangle">
            <a:avLst/>
          </a:prstGeom>
          <a:solidFill>
            <a:srgbClr val="00BA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3" name="Rectangle : en biseau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12106275" y="1714500"/>
            <a:ext cx="971550" cy="361950"/>
          </a:xfrm>
          <a:prstGeom prst="bevel">
            <a:avLst/>
          </a:prstGeom>
          <a:solidFill>
            <a:srgbClr val="00BA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100">
                <a:latin typeface="Montserrat" panose="02000505000000020004" pitchFamily="2" charset="0"/>
              </a:rPr>
              <a:t>Simuler</a:t>
            </a:r>
          </a:p>
        </xdr:txBody>
      </xdr:sp>
    </xdr:grpSp>
    <xdr:clientData/>
  </xdr:twoCellAnchor>
  <xdr:oneCellAnchor>
    <xdr:from>
      <xdr:col>17</xdr:col>
      <xdr:colOff>361950</xdr:colOff>
      <xdr:row>7</xdr:row>
      <xdr:rowOff>85725</xdr:rowOff>
    </xdr:from>
    <xdr:ext cx="184731" cy="264560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31595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6</xdr:col>
      <xdr:colOff>152400</xdr:colOff>
      <xdr:row>3</xdr:row>
      <xdr:rowOff>57149</xdr:rowOff>
    </xdr:from>
    <xdr:to>
      <xdr:col>16</xdr:col>
      <xdr:colOff>447675</xdr:colOff>
      <xdr:row>8</xdr:row>
      <xdr:rowOff>57150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724400" y="628649"/>
          <a:ext cx="7915275" cy="952501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>
              <a:solidFill>
                <a:schemeClr val="bg1"/>
              </a:solidFill>
              <a:latin typeface="Montserrat" panose="02000505000000020004" pitchFamily="2" charset="0"/>
            </a:rPr>
            <a:t>Simulateur de calcul indemnités journalières</a:t>
          </a:r>
          <a:r>
            <a:rPr lang="fr-FR" sz="1800" baseline="0">
              <a:solidFill>
                <a:schemeClr val="bg1"/>
              </a:solidFill>
              <a:latin typeface="Montserrat" panose="02000505000000020004" pitchFamily="2" charset="0"/>
            </a:rPr>
            <a:t> maternité</a:t>
          </a:r>
        </a:p>
        <a:p>
          <a:pPr algn="ctr"/>
          <a:r>
            <a:rPr lang="fr-FR" sz="1800" baseline="0">
              <a:solidFill>
                <a:schemeClr val="bg1"/>
              </a:solidFill>
              <a:latin typeface="Montserrat" panose="02000505000000020004" pitchFamily="2" charset="0"/>
            </a:rPr>
            <a:t>Année 2023</a:t>
          </a:r>
          <a:endParaRPr lang="fr-FR" sz="1800">
            <a:solidFill>
              <a:schemeClr val="bg1"/>
            </a:solidFill>
            <a:latin typeface="Montserrat" panose="02000505000000020004" pitchFamily="2" charset="0"/>
          </a:endParaRPr>
        </a:p>
      </xdr:txBody>
    </xdr:sp>
    <xdr:clientData/>
  </xdr:twoCellAnchor>
  <xdr:twoCellAnchor editAs="oneCell">
    <xdr:from>
      <xdr:col>0</xdr:col>
      <xdr:colOff>444501</xdr:colOff>
      <xdr:row>2</xdr:row>
      <xdr:rowOff>18769</xdr:rowOff>
    </xdr:from>
    <xdr:to>
      <xdr:col>3</xdr:col>
      <xdr:colOff>740834</xdr:colOff>
      <xdr:row>7</xdr:row>
      <xdr:rowOff>39934</xdr:rowOff>
    </xdr:to>
    <xdr:pic>
      <xdr:nvPicPr>
        <xdr:cNvPr id="22" name="Image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1" y="378602"/>
          <a:ext cx="2709333" cy="920749"/>
        </a:xfrm>
        <a:prstGeom prst="rect">
          <a:avLst/>
        </a:prstGeom>
      </xdr:spPr>
    </xdr:pic>
    <xdr:clientData/>
  </xdr:twoCellAnchor>
  <xdr:twoCellAnchor editAs="oneCell">
    <xdr:from>
      <xdr:col>2</xdr:col>
      <xdr:colOff>371928</xdr:colOff>
      <xdr:row>23</xdr:row>
      <xdr:rowOff>72572</xdr:rowOff>
    </xdr:from>
    <xdr:to>
      <xdr:col>2</xdr:col>
      <xdr:colOff>723899</xdr:colOff>
      <xdr:row>25</xdr:row>
      <xdr:rowOff>43543</xdr:rowOff>
    </xdr:to>
    <xdr:pic>
      <xdr:nvPicPr>
        <xdr:cNvPr id="15" name="Graphique 14" descr="Enveloppe ouverte avec un remplissage uni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968499" y="4245429"/>
          <a:ext cx="351971" cy="3519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533399</xdr:colOff>
      <xdr:row>2</xdr:row>
      <xdr:rowOff>133350</xdr:rowOff>
    </xdr:from>
    <xdr:to>
      <xdr:col>8</xdr:col>
      <xdr:colOff>307970</xdr:colOff>
      <xdr:row>3</xdr:row>
      <xdr:rowOff>167921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928256" y="496207"/>
          <a:ext cx="5544000" cy="216000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Renseignements sur la micro-entreprise</a:t>
          </a:r>
        </a:p>
      </xdr:txBody>
    </xdr:sp>
    <xdr:clientData/>
  </xdr:twoCellAnchor>
  <xdr:twoCellAnchor>
    <xdr:from>
      <xdr:col>3</xdr:col>
      <xdr:colOff>533399</xdr:colOff>
      <xdr:row>21</xdr:row>
      <xdr:rowOff>166157</xdr:rowOff>
    </xdr:from>
    <xdr:to>
      <xdr:col>8</xdr:col>
      <xdr:colOff>307970</xdr:colOff>
      <xdr:row>23</xdr:row>
      <xdr:rowOff>19300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928256" y="4085014"/>
          <a:ext cx="5544000" cy="216000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Revenu d'Activité</a:t>
          </a:r>
          <a:r>
            <a:rPr lang="fr-FR" sz="1200" b="1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 Annuel Moyen (RAAM)</a:t>
          </a:r>
          <a:endParaRPr lang="fr-FR" sz="1200" b="1">
            <a:solidFill>
              <a:schemeClr val="tx1">
                <a:lumMod val="65000"/>
                <a:lumOff val="35000"/>
              </a:schemeClr>
            </a:solidFill>
            <a:latin typeface="Montserrat" panose="02000505000000020004" pitchFamily="2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533399</xdr:colOff>
      <xdr:row>26</xdr:row>
      <xdr:rowOff>76200</xdr:rowOff>
    </xdr:from>
    <xdr:to>
      <xdr:col>8</xdr:col>
      <xdr:colOff>307970</xdr:colOff>
      <xdr:row>27</xdr:row>
      <xdr:rowOff>110771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928256" y="4965700"/>
          <a:ext cx="5544000" cy="216000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Indemnités journalières et ARM prévues</a:t>
          </a:r>
        </a:p>
      </xdr:txBody>
    </xdr:sp>
    <xdr:clientData/>
  </xdr:twoCellAnchor>
  <xdr:twoCellAnchor editAs="oneCell">
    <xdr:from>
      <xdr:col>6</xdr:col>
      <xdr:colOff>685800</xdr:colOff>
      <xdr:row>12</xdr:row>
      <xdr:rowOff>657225</xdr:rowOff>
    </xdr:from>
    <xdr:to>
      <xdr:col>6</xdr:col>
      <xdr:colOff>885826</xdr:colOff>
      <xdr:row>14</xdr:row>
      <xdr:rowOff>38100</xdr:rowOff>
    </xdr:to>
    <xdr:sp macro="" textlink="">
      <xdr:nvSpPr>
        <xdr:cNvPr id="6" name="Flèche : droit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096000" y="3248025"/>
          <a:ext cx="200026" cy="238125"/>
        </a:xfrm>
        <a:prstGeom prst="rightArrow">
          <a:avLst/>
        </a:prstGeom>
        <a:solidFill>
          <a:srgbClr val="8BD1C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12</xdr:row>
          <xdr:rowOff>561975</xdr:rowOff>
        </xdr:from>
        <xdr:to>
          <xdr:col>7</xdr:col>
          <xdr:colOff>257175</xdr:colOff>
          <xdr:row>14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533399</xdr:colOff>
      <xdr:row>15</xdr:row>
      <xdr:rowOff>0</xdr:rowOff>
    </xdr:from>
    <xdr:to>
      <xdr:col>8</xdr:col>
      <xdr:colOff>307970</xdr:colOff>
      <xdr:row>16</xdr:row>
      <xdr:rowOff>34572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928256" y="2830286"/>
          <a:ext cx="5544000" cy="216000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Revenus</a:t>
          </a:r>
          <a:r>
            <a:rPr lang="fr-FR" sz="1200" b="1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 (Assiette cotisée)</a:t>
          </a:r>
          <a:endParaRPr lang="fr-FR" sz="1200" b="1">
            <a:solidFill>
              <a:schemeClr val="tx1">
                <a:lumMod val="65000"/>
                <a:lumOff val="35000"/>
              </a:schemeClr>
            </a:solidFill>
            <a:latin typeface="Montserrat" panose="02000505000000020004" pitchFamily="2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465667</xdr:colOff>
      <xdr:row>8</xdr:row>
      <xdr:rowOff>105832</xdr:rowOff>
    </xdr:from>
    <xdr:to>
      <xdr:col>2</xdr:col>
      <xdr:colOff>592667</xdr:colOff>
      <xdr:row>10</xdr:row>
      <xdr:rowOff>105833</xdr:rowOff>
    </xdr:to>
    <xdr:sp macro="" textlink="">
      <xdr:nvSpPr>
        <xdr:cNvPr id="4" name="Rectangle : en biseau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5667" y="1523999"/>
          <a:ext cx="1735667" cy="465667"/>
        </a:xfrm>
        <a:prstGeom prst="bevel">
          <a:avLst/>
        </a:prstGeom>
        <a:solidFill>
          <a:srgbClr val="8BD1C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Retour choix</a:t>
          </a:r>
        </a:p>
      </xdr:txBody>
    </xdr:sp>
    <xdr:clientData/>
  </xdr:twoCellAnchor>
  <xdr:twoCellAnchor editAs="oneCell">
    <xdr:from>
      <xdr:col>0</xdr:col>
      <xdr:colOff>518583</xdr:colOff>
      <xdr:row>2</xdr:row>
      <xdr:rowOff>21167</xdr:rowOff>
    </xdr:from>
    <xdr:to>
      <xdr:col>3</xdr:col>
      <xdr:colOff>5234</xdr:colOff>
      <xdr:row>5</xdr:row>
      <xdr:rowOff>127001</xdr:rowOff>
    </xdr:to>
    <xdr:pic>
      <xdr:nvPicPr>
        <xdr:cNvPr id="8" name="Imag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83" y="381000"/>
          <a:ext cx="1899651" cy="645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566737</xdr:colOff>
      <xdr:row>2</xdr:row>
      <xdr:rowOff>133350</xdr:rowOff>
    </xdr:from>
    <xdr:to>
      <xdr:col>8</xdr:col>
      <xdr:colOff>341308</xdr:colOff>
      <xdr:row>3</xdr:row>
      <xdr:rowOff>167921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61594" y="496207"/>
          <a:ext cx="5544000" cy="216000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Renseignements sur la micro-entreprise</a:t>
          </a:r>
        </a:p>
      </xdr:txBody>
    </xdr:sp>
    <xdr:clientData/>
  </xdr:twoCellAnchor>
  <xdr:twoCellAnchor>
    <xdr:from>
      <xdr:col>3</xdr:col>
      <xdr:colOff>566737</xdr:colOff>
      <xdr:row>21</xdr:row>
      <xdr:rowOff>166157</xdr:rowOff>
    </xdr:from>
    <xdr:to>
      <xdr:col>8</xdr:col>
      <xdr:colOff>341308</xdr:colOff>
      <xdr:row>23</xdr:row>
      <xdr:rowOff>19300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961594" y="4085014"/>
          <a:ext cx="5544000" cy="216000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Revenu d'Activité</a:t>
          </a:r>
          <a:r>
            <a:rPr lang="fr-FR" sz="1200" b="1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 Annuel Moyen (RAAM)</a:t>
          </a:r>
          <a:endParaRPr lang="fr-FR" sz="1200" b="1">
            <a:solidFill>
              <a:schemeClr val="tx1">
                <a:lumMod val="65000"/>
                <a:lumOff val="35000"/>
              </a:schemeClr>
            </a:solidFill>
            <a:latin typeface="Montserrat" panose="02000505000000020004" pitchFamily="2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566737</xdr:colOff>
      <xdr:row>26</xdr:row>
      <xdr:rowOff>76200</xdr:rowOff>
    </xdr:from>
    <xdr:to>
      <xdr:col>8</xdr:col>
      <xdr:colOff>341308</xdr:colOff>
      <xdr:row>27</xdr:row>
      <xdr:rowOff>110771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961594" y="4965700"/>
          <a:ext cx="5544000" cy="216000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Indemnités journalières et ARM prévues</a:t>
          </a:r>
        </a:p>
      </xdr:txBody>
    </xdr:sp>
    <xdr:clientData/>
  </xdr:twoCellAnchor>
  <xdr:twoCellAnchor editAs="oneCell">
    <xdr:from>
      <xdr:col>6</xdr:col>
      <xdr:colOff>714377</xdr:colOff>
      <xdr:row>12</xdr:row>
      <xdr:rowOff>771525</xdr:rowOff>
    </xdr:from>
    <xdr:to>
      <xdr:col>6</xdr:col>
      <xdr:colOff>914401</xdr:colOff>
      <xdr:row>14</xdr:row>
      <xdr:rowOff>47625</xdr:rowOff>
    </xdr:to>
    <xdr:sp macro="" textlink="">
      <xdr:nvSpPr>
        <xdr:cNvPr id="5" name="Flèche : droit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124577" y="3362325"/>
          <a:ext cx="200024" cy="238125"/>
        </a:xfrm>
        <a:prstGeom prst="rightArrow">
          <a:avLst/>
        </a:prstGeom>
        <a:solidFill>
          <a:srgbClr val="8BD1C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971550</xdr:colOff>
          <xdr:row>12</xdr:row>
          <xdr:rowOff>609600</xdr:rowOff>
        </xdr:from>
        <xdr:to>
          <xdr:col>7</xdr:col>
          <xdr:colOff>276225</xdr:colOff>
          <xdr:row>14</xdr:row>
          <xdr:rowOff>123825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566737</xdr:colOff>
      <xdr:row>15</xdr:row>
      <xdr:rowOff>0</xdr:rowOff>
    </xdr:from>
    <xdr:to>
      <xdr:col>8</xdr:col>
      <xdr:colOff>341308</xdr:colOff>
      <xdr:row>16</xdr:row>
      <xdr:rowOff>34572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961594" y="2830286"/>
          <a:ext cx="5544000" cy="216000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Revenus</a:t>
          </a:r>
          <a:r>
            <a:rPr lang="fr-FR" sz="1200" b="1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 (Assiette cotisée)</a:t>
          </a:r>
          <a:endParaRPr lang="fr-FR" sz="1200" b="1">
            <a:solidFill>
              <a:schemeClr val="tx1">
                <a:lumMod val="65000"/>
                <a:lumOff val="35000"/>
              </a:schemeClr>
            </a:solidFill>
            <a:latin typeface="Montserrat" panose="02000505000000020004" pitchFamily="2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476250</xdr:colOff>
      <xdr:row>8</xdr:row>
      <xdr:rowOff>158750</xdr:rowOff>
    </xdr:from>
    <xdr:to>
      <xdr:col>2</xdr:col>
      <xdr:colOff>603250</xdr:colOff>
      <xdr:row>10</xdr:row>
      <xdr:rowOff>158751</xdr:rowOff>
    </xdr:to>
    <xdr:sp macro="" textlink="">
      <xdr:nvSpPr>
        <xdr:cNvPr id="7" name="Rectangle : en biseau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76250" y="1576917"/>
          <a:ext cx="1735667" cy="465667"/>
        </a:xfrm>
        <a:prstGeom prst="bevel">
          <a:avLst/>
        </a:prstGeom>
        <a:solidFill>
          <a:srgbClr val="8BD1C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Retour choix</a:t>
          </a:r>
        </a:p>
      </xdr:txBody>
    </xdr:sp>
    <xdr:clientData/>
  </xdr:twoCellAnchor>
  <xdr:twoCellAnchor editAs="oneCell">
    <xdr:from>
      <xdr:col>0</xdr:col>
      <xdr:colOff>296333</xdr:colOff>
      <xdr:row>2</xdr:row>
      <xdr:rowOff>59266</xdr:rowOff>
    </xdr:from>
    <xdr:to>
      <xdr:col>3</xdr:col>
      <xdr:colOff>218964</xdr:colOff>
      <xdr:row>6</xdr:row>
      <xdr:rowOff>76199</xdr:rowOff>
    </xdr:to>
    <xdr:pic>
      <xdr:nvPicPr>
        <xdr:cNvPr id="8" name="Imag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3" y="440266"/>
          <a:ext cx="2208631" cy="8360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41729</xdr:colOff>
      <xdr:row>2</xdr:row>
      <xdr:rowOff>87992</xdr:rowOff>
    </xdr:from>
    <xdr:to>
      <xdr:col>9</xdr:col>
      <xdr:colOff>882407</xdr:colOff>
      <xdr:row>4</xdr:row>
      <xdr:rowOff>13135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089729" y="468992"/>
          <a:ext cx="6327078" cy="306143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Renseignements sur la micro-entreprise et la maternité</a:t>
          </a:r>
        </a:p>
      </xdr:txBody>
    </xdr:sp>
    <xdr:clientData/>
  </xdr:twoCellAnchor>
  <xdr:twoCellAnchor>
    <xdr:from>
      <xdr:col>4</xdr:col>
      <xdr:colOff>60779</xdr:colOff>
      <xdr:row>21</xdr:row>
      <xdr:rowOff>166157</xdr:rowOff>
    </xdr:from>
    <xdr:to>
      <xdr:col>9</xdr:col>
      <xdr:colOff>901457</xdr:colOff>
      <xdr:row>23</xdr:row>
      <xdr:rowOff>91300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108779" y="4881032"/>
          <a:ext cx="6327078" cy="306143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Revenu d'Activité</a:t>
          </a:r>
          <a:r>
            <a:rPr lang="fr-FR" sz="1200" b="1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 Annuel Moyen (RAAM)</a:t>
          </a:r>
          <a:endParaRPr lang="fr-FR" sz="1200" b="1">
            <a:solidFill>
              <a:schemeClr val="tx1">
                <a:lumMod val="65000"/>
                <a:lumOff val="35000"/>
              </a:schemeClr>
            </a:solidFill>
            <a:latin typeface="Montserrat" panose="02000505000000020004" pitchFamily="2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70304</xdr:colOff>
      <xdr:row>26</xdr:row>
      <xdr:rowOff>57150</xdr:rowOff>
    </xdr:from>
    <xdr:to>
      <xdr:col>9</xdr:col>
      <xdr:colOff>910982</xdr:colOff>
      <xdr:row>27</xdr:row>
      <xdr:rowOff>172793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118304" y="5876925"/>
          <a:ext cx="6327078" cy="306143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Indemnités journalières et ARM prévues</a:t>
          </a:r>
        </a:p>
      </xdr:txBody>
    </xdr:sp>
    <xdr:clientData/>
  </xdr:twoCellAnchor>
  <xdr:twoCellAnchor>
    <xdr:from>
      <xdr:col>4</xdr:col>
      <xdr:colOff>60779</xdr:colOff>
      <xdr:row>14</xdr:row>
      <xdr:rowOff>81641</xdr:rowOff>
    </xdr:from>
    <xdr:to>
      <xdr:col>9</xdr:col>
      <xdr:colOff>901457</xdr:colOff>
      <xdr:row>16</xdr:row>
      <xdr:rowOff>6784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108779" y="3463016"/>
          <a:ext cx="6327078" cy="306143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Revenus</a:t>
          </a:r>
          <a:r>
            <a:rPr lang="fr-FR" sz="1200" b="1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 (Assiette cotisée)</a:t>
          </a:r>
          <a:endParaRPr lang="fr-FR" sz="1200" b="1">
            <a:solidFill>
              <a:schemeClr val="tx1">
                <a:lumMod val="65000"/>
                <a:lumOff val="35000"/>
              </a:schemeClr>
            </a:solidFill>
            <a:latin typeface="Montserrat" panose="02000505000000020004" pitchFamily="2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439964</xdr:colOff>
      <xdr:row>8</xdr:row>
      <xdr:rowOff>140607</xdr:rowOff>
    </xdr:from>
    <xdr:to>
      <xdr:col>2</xdr:col>
      <xdr:colOff>566964</xdr:colOff>
      <xdr:row>10</xdr:row>
      <xdr:rowOff>140608</xdr:rowOff>
    </xdr:to>
    <xdr:sp macro="" textlink="">
      <xdr:nvSpPr>
        <xdr:cNvPr id="7" name="Rectangle : en biseau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39964" y="1809750"/>
          <a:ext cx="1723571" cy="462644"/>
        </a:xfrm>
        <a:prstGeom prst="bevel">
          <a:avLst/>
        </a:prstGeom>
        <a:solidFill>
          <a:srgbClr val="8BD1C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Retour choix</a:t>
          </a:r>
        </a:p>
      </xdr:txBody>
    </xdr:sp>
    <xdr:clientData/>
  </xdr:twoCellAnchor>
  <xdr:twoCellAnchor editAs="oneCell">
    <xdr:from>
      <xdr:col>0</xdr:col>
      <xdr:colOff>255512</xdr:colOff>
      <xdr:row>1</xdr:row>
      <xdr:rowOff>161773</xdr:rowOff>
    </xdr:from>
    <xdr:to>
      <xdr:col>3</xdr:col>
      <xdr:colOff>292443</xdr:colOff>
      <xdr:row>5</xdr:row>
      <xdr:rowOff>229506</xdr:rowOff>
    </xdr:to>
    <xdr:pic>
      <xdr:nvPicPr>
        <xdr:cNvPr id="8" name="Imag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512" y="343202"/>
          <a:ext cx="2431788" cy="7934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450850</xdr:colOff>
      <xdr:row>2</xdr:row>
      <xdr:rowOff>93133</xdr:rowOff>
    </xdr:from>
    <xdr:to>
      <xdr:col>8</xdr:col>
      <xdr:colOff>337517</xdr:colOff>
      <xdr:row>4</xdr:row>
      <xdr:rowOff>21299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736850" y="474133"/>
          <a:ext cx="6344617" cy="309166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Renseignements sur la micro-entreprise et le congé maternité</a:t>
          </a:r>
        </a:p>
      </xdr:txBody>
    </xdr:sp>
    <xdr:clientData/>
  </xdr:twoCellAnchor>
  <xdr:twoCellAnchor>
    <xdr:from>
      <xdr:col>3</xdr:col>
      <xdr:colOff>441325</xdr:colOff>
      <xdr:row>23</xdr:row>
      <xdr:rowOff>176741</xdr:rowOff>
    </xdr:from>
    <xdr:to>
      <xdr:col>8</xdr:col>
      <xdr:colOff>327992</xdr:colOff>
      <xdr:row>25</xdr:row>
      <xdr:rowOff>104908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727325" y="5196416"/>
          <a:ext cx="6344617" cy="309167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Revenu d'Activité</a:t>
          </a:r>
          <a:r>
            <a:rPr lang="fr-FR" sz="1200" b="1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 Annuel Moyen (RAAM)</a:t>
          </a:r>
          <a:endParaRPr lang="fr-FR" sz="1200" b="1">
            <a:solidFill>
              <a:schemeClr val="tx1">
                <a:lumMod val="65000"/>
                <a:lumOff val="35000"/>
              </a:schemeClr>
            </a:solidFill>
            <a:latin typeface="Montserrat" panose="02000505000000020004" pitchFamily="2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431800</xdr:colOff>
      <xdr:row>28</xdr:row>
      <xdr:rowOff>74084</xdr:rowOff>
    </xdr:from>
    <xdr:to>
      <xdr:col>8</xdr:col>
      <xdr:colOff>318467</xdr:colOff>
      <xdr:row>29</xdr:row>
      <xdr:rowOff>182166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717800" y="6170084"/>
          <a:ext cx="6344617" cy="298582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Indemnités journalières et ARM prévues</a:t>
          </a:r>
        </a:p>
      </xdr:txBody>
    </xdr:sp>
    <xdr:clientData/>
  </xdr:twoCellAnchor>
  <xdr:twoCellAnchor>
    <xdr:from>
      <xdr:col>3</xdr:col>
      <xdr:colOff>441325</xdr:colOff>
      <xdr:row>16</xdr:row>
      <xdr:rowOff>12701</xdr:rowOff>
    </xdr:from>
    <xdr:to>
      <xdr:col>8</xdr:col>
      <xdr:colOff>327992</xdr:colOff>
      <xdr:row>17</xdr:row>
      <xdr:rowOff>120784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727325" y="3698876"/>
          <a:ext cx="6344617" cy="298583"/>
        </a:xfrm>
        <a:prstGeom prst="roundRect">
          <a:avLst/>
        </a:prstGeom>
        <a:solidFill>
          <a:srgbClr val="8BD1CF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Revenus</a:t>
          </a:r>
          <a:r>
            <a:rPr lang="fr-FR" sz="1200" b="1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2000505000000020004" pitchFamily="2" charset="0"/>
              <a:cs typeface="Segoe UI" panose="020B0502040204020203" pitchFamily="34" charset="0"/>
            </a:rPr>
            <a:t> (Assiette cotisée)</a:t>
          </a:r>
          <a:endParaRPr lang="fr-FR" sz="1200" b="1">
            <a:solidFill>
              <a:schemeClr val="tx1">
                <a:lumMod val="65000"/>
                <a:lumOff val="35000"/>
              </a:schemeClr>
            </a:solidFill>
            <a:latin typeface="Montserrat" panose="02000505000000020004" pitchFamily="2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404283</xdr:colOff>
      <xdr:row>8</xdr:row>
      <xdr:rowOff>23284</xdr:rowOff>
    </xdr:from>
    <xdr:to>
      <xdr:col>2</xdr:col>
      <xdr:colOff>531283</xdr:colOff>
      <xdr:row>9</xdr:row>
      <xdr:rowOff>246592</xdr:rowOff>
    </xdr:to>
    <xdr:sp macro="" textlink="">
      <xdr:nvSpPr>
        <xdr:cNvPr id="6" name="Rectangle : en biseau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04283" y="1499659"/>
          <a:ext cx="1651000" cy="470958"/>
        </a:xfrm>
        <a:prstGeom prst="bevel">
          <a:avLst/>
        </a:prstGeom>
        <a:solidFill>
          <a:srgbClr val="8BD1C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Retour choix</a:t>
          </a:r>
        </a:p>
      </xdr:txBody>
    </xdr:sp>
    <xdr:clientData/>
  </xdr:twoCellAnchor>
  <xdr:twoCellAnchor editAs="oneCell">
    <xdr:from>
      <xdr:col>0</xdr:col>
      <xdr:colOff>247651</xdr:colOff>
      <xdr:row>2</xdr:row>
      <xdr:rowOff>8468</xdr:rowOff>
    </xdr:from>
    <xdr:to>
      <xdr:col>3</xdr:col>
      <xdr:colOff>162617</xdr:colOff>
      <xdr:row>5</xdr:row>
      <xdr:rowOff>172510</xdr:rowOff>
    </xdr:to>
    <xdr:pic>
      <xdr:nvPicPr>
        <xdr:cNvPr id="7" name="Imag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98968"/>
          <a:ext cx="2200966" cy="73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upsme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A8B71-1B26-48E7-9332-95B9EF69F464}">
  <dimension ref="B25:E32"/>
  <sheetViews>
    <sheetView showGridLines="0" showRowColHeaders="0" tabSelected="1" zoomScaleNormal="100" workbookViewId="0"/>
  </sheetViews>
  <sheetFormatPr baseColWidth="10" defaultColWidth="11.42578125" defaultRowHeight="15" x14ac:dyDescent="0.25"/>
  <cols>
    <col min="1" max="16384" width="11.42578125" style="1"/>
  </cols>
  <sheetData>
    <row r="25" spans="2:5" ht="15.75" x14ac:dyDescent="0.25">
      <c r="C25" s="44"/>
      <c r="D25" s="45" t="s">
        <v>31</v>
      </c>
      <c r="E25" s="44"/>
    </row>
    <row r="32" spans="2:5" ht="15.75" x14ac:dyDescent="0.25">
      <c r="B32" s="47" t="s">
        <v>30</v>
      </c>
      <c r="C32" s="48"/>
      <c r="D32" s="48"/>
      <c r="E32" s="48"/>
    </row>
  </sheetData>
  <sheetProtection sheet="1" objects="1" scenarios="1" selectLockedCells="1"/>
  <mergeCells count="1">
    <mergeCell ref="B32:E32"/>
  </mergeCells>
  <hyperlinks>
    <hyperlink ref="D25" r:id="rId1" xr:uid="{C7883013-583C-4B65-BA9E-7D45897C0E2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D077-8ADD-4D32-989D-C5569E00E1A8}">
  <dimension ref="E6:T41"/>
  <sheetViews>
    <sheetView showGridLines="0" showRowColHeaders="0" zoomScaleNormal="100" workbookViewId="0">
      <selection activeCell="H6" sqref="H6"/>
    </sheetView>
  </sheetViews>
  <sheetFormatPr baseColWidth="10" defaultColWidth="11.42578125" defaultRowHeight="15" x14ac:dyDescent="0.25"/>
  <cols>
    <col min="1" max="4" width="11.42578125" style="2"/>
    <col min="5" max="8" width="17.7109375" style="2" customWidth="1"/>
    <col min="9" max="9" width="15.7109375" style="2" customWidth="1"/>
    <col min="10" max="13" width="11.42578125" style="2"/>
    <col min="14" max="14" width="16" style="2" hidden="1" customWidth="1"/>
    <col min="15" max="15" width="11.42578125" style="2" hidden="1" customWidth="1"/>
    <col min="16" max="16" width="15.140625" style="2" hidden="1" customWidth="1"/>
    <col min="17" max="17" width="11.42578125" style="2" hidden="1" customWidth="1"/>
    <col min="18" max="18" width="11.42578125" style="2" customWidth="1"/>
    <col min="19" max="16384" width="11.42578125" style="2"/>
  </cols>
  <sheetData>
    <row r="6" spans="5:17" ht="19.5" customHeight="1" x14ac:dyDescent="0.25">
      <c r="E6" s="2" t="s">
        <v>22</v>
      </c>
      <c r="H6" s="74">
        <v>45000</v>
      </c>
      <c r="O6" s="4">
        <v>2020</v>
      </c>
      <c r="P6" s="4">
        <v>2021</v>
      </c>
      <c r="Q6" s="4">
        <v>2022</v>
      </c>
    </row>
    <row r="7" spans="5:17" ht="19.5" customHeight="1" x14ac:dyDescent="0.25">
      <c r="E7" s="8" t="s">
        <v>0</v>
      </c>
      <c r="H7" s="65">
        <v>43173</v>
      </c>
      <c r="I7" s="9"/>
      <c r="N7" s="2" t="s">
        <v>1</v>
      </c>
      <c r="O7" s="11">
        <f>F10-(F10*71%)</f>
        <v>0</v>
      </c>
      <c r="P7" s="11">
        <f>G10-(G10*71%)</f>
        <v>0</v>
      </c>
      <c r="Q7" s="11">
        <f>H10-(H10*71%)</f>
        <v>0</v>
      </c>
    </row>
    <row r="8" spans="5:17" ht="21.75" customHeight="1" x14ac:dyDescent="0.25">
      <c r="E8" s="3"/>
      <c r="F8" s="4">
        <v>2020</v>
      </c>
      <c r="G8" s="4">
        <v>2021</v>
      </c>
      <c r="H8" s="4">
        <v>2022</v>
      </c>
      <c r="N8" s="2" t="s">
        <v>6</v>
      </c>
      <c r="O8" s="11">
        <f>F11-(F11*50%)</f>
        <v>0</v>
      </c>
      <c r="P8" s="11">
        <f>G11-(G11*50%)</f>
        <v>0</v>
      </c>
      <c r="Q8" s="11">
        <f>H11-(H11*50%)</f>
        <v>0</v>
      </c>
    </row>
    <row r="9" spans="5:17" ht="21" customHeight="1" x14ac:dyDescent="0.25">
      <c r="E9" s="50" t="s">
        <v>8</v>
      </c>
      <c r="F9" s="51"/>
      <c r="G9" s="51"/>
      <c r="H9" s="52"/>
      <c r="N9" s="2" t="s">
        <v>3</v>
      </c>
      <c r="O9" s="11">
        <f>F12-(F12*34%)</f>
        <v>0</v>
      </c>
      <c r="P9" s="11">
        <f>G12-(G12*34%)</f>
        <v>0</v>
      </c>
      <c r="Q9" s="11">
        <f>H12-(H12*34%)</f>
        <v>0</v>
      </c>
    </row>
    <row r="10" spans="5:17" ht="15.95" customHeight="1" x14ac:dyDescent="0.25">
      <c r="E10" s="6" t="s">
        <v>1</v>
      </c>
      <c r="F10" s="34">
        <v>0</v>
      </c>
      <c r="G10" s="34">
        <v>0</v>
      </c>
      <c r="H10" s="34">
        <v>0</v>
      </c>
      <c r="N10" s="2" t="s">
        <v>7</v>
      </c>
      <c r="O10" s="11">
        <f>SUM(O7:O9)</f>
        <v>0</v>
      </c>
      <c r="P10" s="11">
        <f t="shared" ref="P10:Q10" si="0">SUM(P7:P9)</f>
        <v>0</v>
      </c>
      <c r="Q10" s="11">
        <f t="shared" si="0"/>
        <v>0</v>
      </c>
    </row>
    <row r="11" spans="5:17" ht="15.95" customHeight="1" x14ac:dyDescent="0.25">
      <c r="E11" s="7" t="s">
        <v>2</v>
      </c>
      <c r="F11" s="35">
        <v>0</v>
      </c>
      <c r="G11" s="36">
        <v>0</v>
      </c>
      <c r="H11" s="37">
        <v>0</v>
      </c>
    </row>
    <row r="12" spans="5:17" ht="15.95" customHeight="1" x14ac:dyDescent="0.25">
      <c r="E12" s="7" t="s">
        <v>3</v>
      </c>
      <c r="F12" s="38">
        <v>0</v>
      </c>
      <c r="G12" s="39">
        <v>0</v>
      </c>
      <c r="H12" s="40">
        <v>0</v>
      </c>
      <c r="N12" s="2" t="s">
        <v>12</v>
      </c>
      <c r="P12" s="41" t="b">
        <v>0</v>
      </c>
    </row>
    <row r="13" spans="5:17" ht="52.5" customHeight="1" x14ac:dyDescent="0.25">
      <c r="E13" s="68" t="str">
        <f>IF(AND(H6&gt;=DATEVALUE("01/01/2023"),H6&lt;=DATEVALUE("10/02/2023")),"En 2022, vous ne devez prendre en compte que votre CA de janvier à novembre en mensuel ou de janvier à septembre en trimestriel - Pensez à sélectionner la périodicité de déclaration de CA en dessous.","")</f>
        <v/>
      </c>
      <c r="F13" s="68"/>
      <c r="G13" s="68"/>
      <c r="H13" s="68"/>
      <c r="N13" s="2" t="s">
        <v>13</v>
      </c>
      <c r="P13" s="19">
        <f>(P10+Q10)/2</f>
        <v>0</v>
      </c>
    </row>
    <row r="14" spans="5:17" x14ac:dyDescent="0.25">
      <c r="E14" s="2" t="s">
        <v>4</v>
      </c>
      <c r="N14" s="2" t="s">
        <v>14</v>
      </c>
      <c r="P14" s="19">
        <f>(H19+H20+H21)/3</f>
        <v>0</v>
      </c>
    </row>
    <row r="15" spans="5:17" x14ac:dyDescent="0.25">
      <c r="N15" s="2" t="s">
        <v>15</v>
      </c>
      <c r="P15" s="20">
        <v>4113.2</v>
      </c>
    </row>
    <row r="16" spans="5:17" x14ac:dyDescent="0.25">
      <c r="N16" s="2" t="s">
        <v>16</v>
      </c>
      <c r="P16" s="20">
        <v>6.03</v>
      </c>
    </row>
    <row r="17" spans="5:16" x14ac:dyDescent="0.25">
      <c r="N17" s="2" t="s">
        <v>17</v>
      </c>
      <c r="P17" s="20">
        <v>60.26</v>
      </c>
    </row>
    <row r="18" spans="5:16" x14ac:dyDescent="0.25">
      <c r="E18" s="60" t="s">
        <v>37</v>
      </c>
      <c r="F18" s="12" t="s">
        <v>9</v>
      </c>
      <c r="G18" s="12" t="s">
        <v>10</v>
      </c>
      <c r="H18" s="12" t="s">
        <v>11</v>
      </c>
      <c r="N18" s="2" t="s">
        <v>18</v>
      </c>
      <c r="P18" s="20">
        <v>366.6</v>
      </c>
    </row>
    <row r="19" spans="5:16" x14ac:dyDescent="0.25">
      <c r="E19" s="60"/>
      <c r="F19" s="12">
        <v>2020</v>
      </c>
      <c r="G19" s="13">
        <v>365</v>
      </c>
      <c r="H19" s="16">
        <f>O10</f>
        <v>0</v>
      </c>
      <c r="N19" s="2" t="s">
        <v>18</v>
      </c>
      <c r="P19" s="20">
        <v>3666</v>
      </c>
    </row>
    <row r="20" spans="5:16" x14ac:dyDescent="0.25">
      <c r="E20" s="70" t="s">
        <v>35</v>
      </c>
      <c r="F20" s="12">
        <v>2021</v>
      </c>
      <c r="G20" s="14">
        <v>365</v>
      </c>
      <c r="H20" s="17">
        <f>P10</f>
        <v>0</v>
      </c>
    </row>
    <row r="21" spans="5:16" x14ac:dyDescent="0.25">
      <c r="E21" s="70"/>
      <c r="F21" s="12">
        <v>2022</v>
      </c>
      <c r="G21" s="15">
        <f>IF(AND(AND(H6&gt;=DATEVALUE("01/01/2023"),H6&lt;=DATEVALUE("10/02/2023"),E20="Mensuelle")),365-30,IF(AND(AND(H6&gt;=DATEVALUE("01/01/2023"),H6&lt;=DATEVALUE("10/02/2023"),E20="Trimestrielle")),365-90,365))</f>
        <v>365</v>
      </c>
      <c r="H21" s="18">
        <f>(Q10/G21)*365</f>
        <v>0</v>
      </c>
    </row>
    <row r="25" spans="5:16" ht="19.5" customHeight="1" x14ac:dyDescent="0.25">
      <c r="F25" s="49" t="s">
        <v>5</v>
      </c>
      <c r="G25" s="49"/>
      <c r="H25" s="5">
        <f>IF(AND(P12=TRUE,P13&gt;P14),P13,P14)</f>
        <v>0</v>
      </c>
    </row>
    <row r="30" spans="5:16" ht="19.5" customHeight="1" x14ac:dyDescent="0.25">
      <c r="E30" s="53" t="s">
        <v>19</v>
      </c>
      <c r="F30" s="53"/>
      <c r="G30" s="53"/>
      <c r="H30" s="21">
        <f>IF(H25=0,0,IF(H25&lt;P15,P16,IF(H25&gt;=P15,P17,0)))</f>
        <v>0</v>
      </c>
    </row>
    <row r="31" spans="5:16" ht="19.5" customHeight="1" x14ac:dyDescent="0.25">
      <c r="E31" s="53" t="s">
        <v>20</v>
      </c>
      <c r="F31" s="53"/>
      <c r="G31" s="53"/>
      <c r="H31" s="21">
        <f>IF(H25=0,0,IF(H25&lt;P15,P18,IF(H25&gt;=P15,P19,0)))</f>
        <v>0</v>
      </c>
    </row>
    <row r="41" spans="20:20" x14ac:dyDescent="0.25">
      <c r="T41" s="2" t="b">
        <v>1</v>
      </c>
    </row>
  </sheetData>
  <sheetProtection sheet="1" objects="1" scenarios="1" selectLockedCells="1"/>
  <mergeCells count="7">
    <mergeCell ref="F25:G25"/>
    <mergeCell ref="E9:H9"/>
    <mergeCell ref="E30:G30"/>
    <mergeCell ref="E31:G31"/>
    <mergeCell ref="E18:E19"/>
    <mergeCell ref="E20:E21"/>
    <mergeCell ref="E13:H13"/>
  </mergeCells>
  <dataValidations count="3">
    <dataValidation type="date" operator="lessThanOrEqual" allowBlank="1" showInputMessage="1" showErrorMessage="1" error="Vous devez impérativement saisir une date de début d'activité inférieure ou égale au 31 décembre 2019" sqref="H7" xr:uid="{42CD89F6-9B3B-42F2-B129-01D8C99A4C83}">
      <formula1>43830</formula1>
    </dataValidation>
    <dataValidation type="date" allowBlank="1" showInputMessage="1" showErrorMessage="1" sqref="H6" xr:uid="{36260DBB-373A-4DA0-B561-DE1091F11A9A}">
      <formula1>44927</formula1>
      <formula2>45291</formula2>
    </dataValidation>
    <dataValidation type="list" allowBlank="1" showInputMessage="1" showErrorMessage="1" sqref="E20:E21" xr:uid="{771D900B-9DA6-4914-8C19-96FFCCD78BDA}">
      <formula1>"Mensuelle,Trimestrielle"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6</xdr:col>
                    <xdr:colOff>952500</xdr:colOff>
                    <xdr:row>12</xdr:row>
                    <xdr:rowOff>561975</xdr:rowOff>
                  </from>
                  <to>
                    <xdr:col>7</xdr:col>
                    <xdr:colOff>257175</xdr:colOff>
                    <xdr:row>14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4A747-7276-4E36-AE12-728E7ED15850}">
  <dimension ref="E5:T41"/>
  <sheetViews>
    <sheetView showGridLines="0" showRowColHeaders="0" zoomScaleNormal="100" workbookViewId="0">
      <selection activeCell="H7" sqref="H7"/>
    </sheetView>
  </sheetViews>
  <sheetFormatPr baseColWidth="10" defaultColWidth="11.42578125" defaultRowHeight="15" x14ac:dyDescent="0.25"/>
  <cols>
    <col min="1" max="4" width="11.42578125" style="2"/>
    <col min="5" max="8" width="17.7109375" style="2" customWidth="1"/>
    <col min="9" max="9" width="15.7109375" style="2" customWidth="1"/>
    <col min="10" max="13" width="11.42578125" style="2"/>
    <col min="14" max="14" width="16" style="2" hidden="1" customWidth="1"/>
    <col min="15" max="15" width="13.140625" style="2" hidden="1" customWidth="1"/>
    <col min="16" max="16" width="15.140625" style="2" hidden="1" customWidth="1"/>
    <col min="17" max="17" width="11.42578125" style="2" hidden="1" customWidth="1"/>
    <col min="18" max="18" width="11.42578125" style="2" customWidth="1"/>
    <col min="19" max="16384" width="11.42578125" style="2"/>
  </cols>
  <sheetData>
    <row r="5" spans="5:17" x14ac:dyDescent="0.25">
      <c r="O5" s="4">
        <v>2020</v>
      </c>
      <c r="P5" s="4">
        <v>2021</v>
      </c>
      <c r="Q5" s="4">
        <v>2022</v>
      </c>
    </row>
    <row r="6" spans="5:17" ht="19.5" customHeight="1" x14ac:dyDescent="0.25">
      <c r="E6" s="2" t="s">
        <v>22</v>
      </c>
      <c r="H6" s="74">
        <v>44972</v>
      </c>
      <c r="O6" s="4"/>
      <c r="P6" s="4"/>
      <c r="Q6" s="4"/>
    </row>
    <row r="7" spans="5:17" ht="19.5" customHeight="1" x14ac:dyDescent="0.25">
      <c r="E7" s="8" t="s">
        <v>0</v>
      </c>
      <c r="H7" s="65">
        <v>43905</v>
      </c>
      <c r="I7" s="9"/>
      <c r="N7" s="2" t="s">
        <v>1</v>
      </c>
      <c r="O7" s="11">
        <f>F10-(F10*71%)</f>
        <v>0</v>
      </c>
      <c r="P7" s="11">
        <f>G10-(G10*71%)</f>
        <v>0</v>
      </c>
      <c r="Q7" s="11">
        <f>H10-(H10*71%)</f>
        <v>0</v>
      </c>
    </row>
    <row r="8" spans="5:17" ht="21.75" customHeight="1" x14ac:dyDescent="0.25">
      <c r="E8" s="3"/>
      <c r="F8" s="4">
        <v>2020</v>
      </c>
      <c r="G8" s="4">
        <v>2021</v>
      </c>
      <c r="H8" s="4">
        <v>2022</v>
      </c>
      <c r="N8" s="2" t="s">
        <v>6</v>
      </c>
      <c r="O8" s="11">
        <f>F11-(F11*50%)</f>
        <v>0</v>
      </c>
      <c r="P8" s="11">
        <f>G11-(G11*50%)</f>
        <v>0</v>
      </c>
      <c r="Q8" s="11">
        <f>H11-(H11*50%)</f>
        <v>0</v>
      </c>
    </row>
    <row r="9" spans="5:17" ht="21" customHeight="1" x14ac:dyDescent="0.25">
      <c r="E9" s="50" t="s">
        <v>8</v>
      </c>
      <c r="F9" s="51"/>
      <c r="G9" s="51"/>
      <c r="H9" s="52"/>
      <c r="N9" s="2" t="s">
        <v>3</v>
      </c>
      <c r="O9" s="11">
        <f>F12-(F12*34%)</f>
        <v>0</v>
      </c>
      <c r="P9" s="11">
        <f>G12-(G12*34%)</f>
        <v>0</v>
      </c>
      <c r="Q9" s="11">
        <f>H12-(H12*34%)</f>
        <v>0</v>
      </c>
    </row>
    <row r="10" spans="5:17" ht="15.95" customHeight="1" x14ac:dyDescent="0.25">
      <c r="E10" s="6" t="s">
        <v>1</v>
      </c>
      <c r="F10" s="34">
        <v>0</v>
      </c>
      <c r="G10" s="34">
        <v>0</v>
      </c>
      <c r="H10" s="34">
        <v>0</v>
      </c>
      <c r="N10" s="2" t="s">
        <v>7</v>
      </c>
      <c r="O10" s="11">
        <f>SUM(O7:O9)</f>
        <v>0</v>
      </c>
      <c r="P10" s="11">
        <f t="shared" ref="P10:Q10" si="0">SUM(P7:P9)</f>
        <v>0</v>
      </c>
      <c r="Q10" s="11">
        <f t="shared" si="0"/>
        <v>0</v>
      </c>
    </row>
    <row r="11" spans="5:17" ht="15.95" customHeight="1" x14ac:dyDescent="0.25">
      <c r="E11" s="7" t="s">
        <v>2</v>
      </c>
      <c r="F11" s="35">
        <v>0</v>
      </c>
      <c r="G11" s="36">
        <v>0</v>
      </c>
      <c r="H11" s="37">
        <v>0</v>
      </c>
      <c r="N11" s="2" t="s">
        <v>21</v>
      </c>
      <c r="O11" s="22"/>
      <c r="P11" s="22">
        <v>44196</v>
      </c>
      <c r="Q11" s="23">
        <f>DATEDIF(H7,P11,"d")</f>
        <v>291</v>
      </c>
    </row>
    <row r="12" spans="5:17" ht="15.95" customHeight="1" x14ac:dyDescent="0.25">
      <c r="E12" s="7" t="s">
        <v>3</v>
      </c>
      <c r="F12" s="38">
        <v>0</v>
      </c>
      <c r="G12" s="39">
        <v>0</v>
      </c>
      <c r="H12" s="40">
        <v>0</v>
      </c>
      <c r="N12" s="2" t="s">
        <v>12</v>
      </c>
      <c r="P12" s="41" t="b">
        <v>0</v>
      </c>
    </row>
    <row r="13" spans="5:17" ht="54.75" customHeight="1" x14ac:dyDescent="0.25">
      <c r="E13" s="68" t="str">
        <f>IF(AND(H6&gt;=DATEVALUE("01/01/2023"),H6&lt;=DATEVALUE("10/02/2023")),"En 2022, vous ne devez prendre en compte que votre CA de janvier à novembre en mensuel ou de janvier à septembre en trimestriel - Pensez à sélectionner la périodicité de déclaration de CA en dessous.","")</f>
        <v/>
      </c>
      <c r="F13" s="68"/>
      <c r="G13" s="68"/>
      <c r="H13" s="68"/>
      <c r="N13" s="2" t="s">
        <v>13</v>
      </c>
      <c r="P13" s="19">
        <f>(P10+Q10)/2</f>
        <v>0</v>
      </c>
    </row>
    <row r="14" spans="5:17" x14ac:dyDescent="0.25">
      <c r="E14" s="2" t="s">
        <v>4</v>
      </c>
      <c r="N14" s="2" t="s">
        <v>14</v>
      </c>
      <c r="P14" s="19">
        <f>(H19+H20+H21)/3</f>
        <v>0</v>
      </c>
    </row>
    <row r="15" spans="5:17" x14ac:dyDescent="0.25">
      <c r="N15" s="2" t="s">
        <v>15</v>
      </c>
      <c r="P15" s="20">
        <v>4113.2</v>
      </c>
    </row>
    <row r="16" spans="5:17" x14ac:dyDescent="0.25">
      <c r="N16" s="2" t="s">
        <v>16</v>
      </c>
      <c r="P16" s="20">
        <v>6.03</v>
      </c>
    </row>
    <row r="17" spans="5:16" x14ac:dyDescent="0.25">
      <c r="N17" s="2" t="s">
        <v>17</v>
      </c>
      <c r="P17" s="20">
        <v>60.26</v>
      </c>
    </row>
    <row r="18" spans="5:16" x14ac:dyDescent="0.25">
      <c r="E18" s="66" t="s">
        <v>37</v>
      </c>
      <c r="F18" s="12" t="s">
        <v>9</v>
      </c>
      <c r="G18" s="12" t="s">
        <v>10</v>
      </c>
      <c r="H18" s="12" t="s">
        <v>11</v>
      </c>
      <c r="N18" s="2" t="s">
        <v>18</v>
      </c>
      <c r="P18" s="20">
        <v>366.6</v>
      </c>
    </row>
    <row r="19" spans="5:16" x14ac:dyDescent="0.25">
      <c r="E19" s="67"/>
      <c r="F19" s="12">
        <v>2020</v>
      </c>
      <c r="G19" s="24">
        <f>Q11</f>
        <v>291</v>
      </c>
      <c r="H19" s="16">
        <f>(O10/G19)*365</f>
        <v>0</v>
      </c>
      <c r="N19" s="2" t="s">
        <v>18</v>
      </c>
      <c r="P19" s="20">
        <v>3666</v>
      </c>
    </row>
    <row r="20" spans="5:16" x14ac:dyDescent="0.25">
      <c r="E20" s="72" t="s">
        <v>35</v>
      </c>
      <c r="F20" s="12">
        <v>2021</v>
      </c>
      <c r="G20" s="14">
        <v>365</v>
      </c>
      <c r="H20" s="17">
        <f>P10</f>
        <v>0</v>
      </c>
    </row>
    <row r="21" spans="5:16" x14ac:dyDescent="0.25">
      <c r="E21" s="73"/>
      <c r="F21" s="12">
        <v>2022</v>
      </c>
      <c r="G21" s="15">
        <f>IF(AND(AND(H6&gt;=DATEVALUE("01/01/2023"),H6&lt;=DATEVALUE("10/02/2023"),E20="Mensuelle")),365-30,IF(AND(AND(H6&gt;=DATEVALUE("01/01/2023"),H6&lt;=DATEVALUE("10/02/2023"),E20="Trimestrielle")),365-90,365))</f>
        <v>365</v>
      </c>
      <c r="H21" s="18">
        <f>(Q10/G21)*365</f>
        <v>0</v>
      </c>
    </row>
    <row r="25" spans="5:16" ht="19.5" customHeight="1" x14ac:dyDescent="0.25">
      <c r="F25" s="49" t="s">
        <v>5</v>
      </c>
      <c r="G25" s="49"/>
      <c r="H25" s="5">
        <f>IF(AND(P12=TRUE,P13&gt;P14),P13,P14)</f>
        <v>0</v>
      </c>
    </row>
    <row r="30" spans="5:16" ht="19.5" customHeight="1" x14ac:dyDescent="0.25">
      <c r="E30" s="53" t="s">
        <v>19</v>
      </c>
      <c r="F30" s="53"/>
      <c r="G30" s="53"/>
      <c r="H30" s="21">
        <f>IF(H25=0,0,IF(H25&lt;P15,P16,IF(H25&gt;=P15,P17,0)))</f>
        <v>0</v>
      </c>
    </row>
    <row r="31" spans="5:16" ht="19.5" customHeight="1" x14ac:dyDescent="0.25">
      <c r="E31" s="53" t="s">
        <v>20</v>
      </c>
      <c r="F31" s="53"/>
      <c r="G31" s="53"/>
      <c r="H31" s="21">
        <f>IF(H25=0,0,IF(H25&lt;P15,P18,IF(H25&gt;=P15,P19,0)))</f>
        <v>0</v>
      </c>
    </row>
    <row r="41" spans="20:20" x14ac:dyDescent="0.25">
      <c r="T41" s="2" t="b">
        <v>1</v>
      </c>
    </row>
  </sheetData>
  <sheetProtection sheet="1" objects="1" scenarios="1" selectLockedCells="1"/>
  <mergeCells count="7">
    <mergeCell ref="E9:H9"/>
    <mergeCell ref="F25:G25"/>
    <mergeCell ref="E30:G30"/>
    <mergeCell ref="E31:G31"/>
    <mergeCell ref="E18:E19"/>
    <mergeCell ref="E20:E21"/>
    <mergeCell ref="E13:H13"/>
  </mergeCells>
  <dataValidations count="3">
    <dataValidation type="date" allowBlank="1" showInputMessage="1" showErrorMessage="1" error="Vous devez impérativement saisir une date de début d'activité inférieure ou égale au 31 décembre 2019" sqref="H7" xr:uid="{D797A45A-5233-445A-8FEA-A64C007DA812}">
      <formula1>43831</formula1>
      <formula2>44196</formula2>
    </dataValidation>
    <dataValidation type="date" allowBlank="1" showInputMessage="1" showErrorMessage="1" sqref="H6" xr:uid="{A16C4DD2-E95F-453A-B7FD-B4076295BFB8}">
      <formula1>44927</formula1>
      <formula2>45291</formula2>
    </dataValidation>
    <dataValidation type="list" allowBlank="1" showInputMessage="1" showErrorMessage="1" sqref="E20:E21" xr:uid="{587D3780-EEB8-4EB7-9ECC-A7EA279876CE}">
      <formula1>"Mensuelle,Trimestrielle"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locked="0" defaultSize="0" autoFill="0" autoLine="0" autoPict="0">
                <anchor moveWithCells="1">
                  <from>
                    <xdr:col>6</xdr:col>
                    <xdr:colOff>971550</xdr:colOff>
                    <xdr:row>12</xdr:row>
                    <xdr:rowOff>609600</xdr:rowOff>
                  </from>
                  <to>
                    <xdr:col>7</xdr:col>
                    <xdr:colOff>276225</xdr:colOff>
                    <xdr:row>14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3901F-7574-4549-A838-B01C4D1D94FF}">
  <dimension ref="F5:U41"/>
  <sheetViews>
    <sheetView showGridLines="0" showRowColHeaders="0" zoomScaleNormal="100" workbookViewId="0">
      <selection activeCell="I6" sqref="I6"/>
    </sheetView>
  </sheetViews>
  <sheetFormatPr baseColWidth="10" defaultColWidth="11.42578125" defaultRowHeight="15" x14ac:dyDescent="0.25"/>
  <cols>
    <col min="1" max="5" width="11.42578125" style="2"/>
    <col min="6" max="9" width="17.7109375" style="2" customWidth="1"/>
    <col min="10" max="10" width="15.7109375" style="2" customWidth="1"/>
    <col min="11" max="13" width="11.42578125" style="2"/>
    <col min="14" max="14" width="17.140625" style="2" customWidth="1"/>
    <col min="15" max="20" width="17.140625" style="2" hidden="1" customWidth="1"/>
    <col min="21" max="24" width="17.140625" style="2" customWidth="1"/>
    <col min="25" max="16384" width="11.42578125" style="2"/>
  </cols>
  <sheetData>
    <row r="5" spans="6:20" x14ac:dyDescent="0.25">
      <c r="P5" s="4">
        <v>2021</v>
      </c>
      <c r="Q5" s="4">
        <v>2022</v>
      </c>
      <c r="R5" s="4">
        <v>2023</v>
      </c>
    </row>
    <row r="6" spans="6:20" ht="18.95" customHeight="1" x14ac:dyDescent="0.25">
      <c r="F6" s="8" t="s">
        <v>22</v>
      </c>
      <c r="I6" s="42">
        <v>45092</v>
      </c>
      <c r="P6" s="4"/>
      <c r="Q6" s="4"/>
      <c r="R6" s="4"/>
    </row>
    <row r="7" spans="6:20" ht="19.5" customHeight="1" x14ac:dyDescent="0.25">
      <c r="F7" s="8" t="s">
        <v>25</v>
      </c>
      <c r="I7" s="43">
        <v>44459</v>
      </c>
      <c r="J7" s="9"/>
      <c r="O7" s="2" t="s">
        <v>1</v>
      </c>
      <c r="P7" s="11">
        <f>G10-(G10*71%)</f>
        <v>0</v>
      </c>
      <c r="Q7" s="11">
        <f>H10-(H10*71%)</f>
        <v>0</v>
      </c>
      <c r="R7" s="11">
        <f>I10-(I10*71%)</f>
        <v>0</v>
      </c>
    </row>
    <row r="8" spans="6:20" ht="21.75" customHeight="1" x14ac:dyDescent="0.25">
      <c r="F8" s="3"/>
      <c r="G8" s="4">
        <v>2021</v>
      </c>
      <c r="H8" s="4">
        <v>2022</v>
      </c>
      <c r="I8" s="4">
        <v>2023</v>
      </c>
      <c r="O8" s="2" t="s">
        <v>6</v>
      </c>
      <c r="P8" s="11">
        <f>G11-(G11*50%)</f>
        <v>0</v>
      </c>
      <c r="Q8" s="11">
        <f>H11-(H11*50%)</f>
        <v>0</v>
      </c>
      <c r="R8" s="11">
        <f>I11-(I11*50%)</f>
        <v>0</v>
      </c>
    </row>
    <row r="9" spans="6:20" ht="21" customHeight="1" x14ac:dyDescent="0.25">
      <c r="F9" s="50" t="s">
        <v>8</v>
      </c>
      <c r="G9" s="51"/>
      <c r="H9" s="51"/>
      <c r="I9" s="52"/>
      <c r="O9" s="2" t="s">
        <v>3</v>
      </c>
      <c r="P9" s="11">
        <f>G12-(G12*34%)</f>
        <v>2640</v>
      </c>
      <c r="Q9" s="11">
        <f>H12-(H12*34%)</f>
        <v>3300</v>
      </c>
      <c r="R9" s="11">
        <f>I12-(I12*34%)</f>
        <v>330</v>
      </c>
    </row>
    <row r="10" spans="6:20" ht="15.95" customHeight="1" x14ac:dyDescent="0.25">
      <c r="F10" s="6" t="s">
        <v>1</v>
      </c>
      <c r="G10" s="34">
        <v>0</v>
      </c>
      <c r="H10" s="34">
        <v>0</v>
      </c>
      <c r="I10" s="34">
        <v>0</v>
      </c>
      <c r="O10" s="2" t="s">
        <v>7</v>
      </c>
      <c r="P10" s="11">
        <f>SUM(P7:P9)</f>
        <v>2640</v>
      </c>
      <c r="Q10" s="11">
        <f t="shared" ref="Q10:R10" si="0">SUM(Q7:Q9)</f>
        <v>3300</v>
      </c>
      <c r="R10" s="11">
        <f t="shared" si="0"/>
        <v>330</v>
      </c>
    </row>
    <row r="11" spans="6:20" ht="15.95" customHeight="1" x14ac:dyDescent="0.25">
      <c r="F11" s="7" t="s">
        <v>2</v>
      </c>
      <c r="G11" s="35">
        <v>0</v>
      </c>
      <c r="H11" s="36">
        <v>0</v>
      </c>
      <c r="I11" s="37">
        <v>0</v>
      </c>
      <c r="O11" s="2" t="s">
        <v>21</v>
      </c>
      <c r="P11" s="22"/>
      <c r="Q11" s="10">
        <v>44561</v>
      </c>
      <c r="R11" s="25">
        <f>DATEDIF(I7,Q11,"d")</f>
        <v>102</v>
      </c>
    </row>
    <row r="12" spans="6:20" ht="15.95" customHeight="1" x14ac:dyDescent="0.25">
      <c r="F12" s="7" t="s">
        <v>3</v>
      </c>
      <c r="G12" s="38">
        <v>4000</v>
      </c>
      <c r="H12" s="39">
        <v>5000</v>
      </c>
      <c r="I12" s="40">
        <v>500</v>
      </c>
      <c r="Q12" s="10">
        <f>I6</f>
        <v>45092</v>
      </c>
      <c r="R12" s="10">
        <f>IF(AND(I6&gt;=DATEVALUE("01/01/2023"),I6&lt;=DATEVALUE("10/03/2023")),0,DATE(YEAR(I6),MONTH(I6)-1,1)-1)</f>
        <v>45046</v>
      </c>
      <c r="S12" s="10">
        <f>DATE(YEAR(I6),1,1)</f>
        <v>44927</v>
      </c>
      <c r="T12" s="26">
        <f>IF(R12&gt;=DATEVALUE("31/01/2023"),DATEDIF(S12,R12,"d"),0)</f>
        <v>119</v>
      </c>
    </row>
    <row r="13" spans="6:20" ht="48" customHeight="1" x14ac:dyDescent="0.25">
      <c r="F13" s="68" t="str">
        <f>IF(AND(I6&gt;=DATEVALUE("01/01/2023"),I6&lt;=DATEVALUE("10/02/2023")),"En 2022, vous ne devez prendre en compte que votre CA de janvier à novembre en mensuel ou de janvier à septembre en trimestriel - Pensez à sélectionner la périodicité de déclaration de CA en dessous.","")</f>
        <v/>
      </c>
      <c r="G13" s="68"/>
      <c r="H13" s="68"/>
      <c r="I13" s="68"/>
      <c r="O13" s="2" t="s">
        <v>23</v>
      </c>
      <c r="Q13" s="19">
        <f>(P10+Q10+R10)/3</f>
        <v>2090</v>
      </c>
    </row>
    <row r="14" spans="6:20" x14ac:dyDescent="0.25">
      <c r="O14" s="2" t="s">
        <v>24</v>
      </c>
      <c r="Q14" s="19">
        <f>IF(AND(I6&gt;=DATEVALUE("01/01/2023"),I6&lt;=DATEVALUE("10/03/2023")),(I19+I20)/2,(I19+I20+I21)/3)</f>
        <v>4586.4145658263305</v>
      </c>
    </row>
    <row r="15" spans="6:20" x14ac:dyDescent="0.25">
      <c r="O15" s="2" t="s">
        <v>15</v>
      </c>
      <c r="Q15" s="20">
        <v>4113.2</v>
      </c>
    </row>
    <row r="16" spans="6:20" x14ac:dyDescent="0.25">
      <c r="O16" s="2" t="s">
        <v>16</v>
      </c>
      <c r="Q16" s="20">
        <v>6.03</v>
      </c>
    </row>
    <row r="17" spans="6:18" x14ac:dyDescent="0.25">
      <c r="O17" s="2" t="s">
        <v>17</v>
      </c>
      <c r="Q17" s="20">
        <v>60.26</v>
      </c>
    </row>
    <row r="18" spans="6:18" x14ac:dyDescent="0.25">
      <c r="F18" s="69" t="s">
        <v>37</v>
      </c>
      <c r="G18" s="12" t="s">
        <v>9</v>
      </c>
      <c r="H18" s="12" t="s">
        <v>10</v>
      </c>
      <c r="I18" s="12" t="s">
        <v>11</v>
      </c>
      <c r="O18" s="2" t="s">
        <v>18</v>
      </c>
      <c r="Q18" s="20">
        <v>366.6</v>
      </c>
    </row>
    <row r="19" spans="6:18" x14ac:dyDescent="0.25">
      <c r="F19" s="69"/>
      <c r="G19" s="12">
        <v>2021</v>
      </c>
      <c r="H19" s="24">
        <f>R11</f>
        <v>102</v>
      </c>
      <c r="I19" s="16">
        <f>(P10/H19)*365</f>
        <v>9447.0588235294126</v>
      </c>
      <c r="O19" s="2" t="s">
        <v>18</v>
      </c>
      <c r="Q19" s="20">
        <v>3666</v>
      </c>
    </row>
    <row r="20" spans="6:18" x14ac:dyDescent="0.25">
      <c r="F20" s="71" t="s">
        <v>36</v>
      </c>
      <c r="G20" s="12">
        <v>2022</v>
      </c>
      <c r="H20" s="14">
        <f>IF(AND(AND(I6&gt;=DATEVALUE("01/01/2023"),I6&lt;=DATEVALUE("10/02/2023"),F20="Mensuelle")),365-30,IF(AND(AND(I6&gt;=DATEVALUE("01/01/2023"),I6&lt;=DATEVALUE("10/02/2023"),F20="Trimestrielle")),365-90,365))</f>
        <v>365</v>
      </c>
      <c r="I20" s="17">
        <f>(Q10/H20)*365</f>
        <v>3300</v>
      </c>
    </row>
    <row r="21" spans="6:18" x14ac:dyDescent="0.25">
      <c r="F21" s="71"/>
      <c r="G21" s="12">
        <v>2023</v>
      </c>
      <c r="H21" s="15">
        <f>T12</f>
        <v>119</v>
      </c>
      <c r="I21" s="18">
        <f>IF(T12=0,0,(R10/H21)*365)</f>
        <v>1012.1848739495798</v>
      </c>
      <c r="Q21" s="46">
        <v>44926</v>
      </c>
      <c r="R21" s="2">
        <f>IF(Q21=DATEVALUE("31/12/2022"),1,0)</f>
        <v>1</v>
      </c>
    </row>
    <row r="24" spans="6:18" ht="22.5" customHeight="1" x14ac:dyDescent="0.25"/>
    <row r="25" spans="6:18" ht="19.5" customHeight="1" x14ac:dyDescent="0.25">
      <c r="G25" s="49" t="s">
        <v>5</v>
      </c>
      <c r="H25" s="49"/>
      <c r="I25" s="5">
        <f>Q14</f>
        <v>4586.4145658263305</v>
      </c>
    </row>
    <row r="30" spans="6:18" ht="19.5" customHeight="1" x14ac:dyDescent="0.25">
      <c r="F30" s="53" t="s">
        <v>19</v>
      </c>
      <c r="G30" s="53"/>
      <c r="H30" s="53"/>
      <c r="I30" s="21">
        <f>IF(I25=0,0,IF(I25&lt;Q15,Q16,IF(I25&gt;=Q15,Q17,0)))</f>
        <v>60.26</v>
      </c>
    </row>
    <row r="31" spans="6:18" ht="19.5" customHeight="1" x14ac:dyDescent="0.25">
      <c r="F31" s="53" t="s">
        <v>20</v>
      </c>
      <c r="G31" s="53"/>
      <c r="H31" s="53"/>
      <c r="I31" s="21">
        <f>IF(I25=0,0,IF(I25&lt;Q15,Q18,IF(I25&gt;=Q15,Q19,0)))</f>
        <v>3666</v>
      </c>
    </row>
    <row r="41" spans="21:21" x14ac:dyDescent="0.25">
      <c r="U41" s="2" t="b">
        <v>1</v>
      </c>
    </row>
  </sheetData>
  <sheetProtection sheet="1" selectLockedCells="1"/>
  <mergeCells count="7">
    <mergeCell ref="F9:I9"/>
    <mergeCell ref="G25:H25"/>
    <mergeCell ref="F30:H30"/>
    <mergeCell ref="F31:H31"/>
    <mergeCell ref="F18:F19"/>
    <mergeCell ref="F20:F21"/>
    <mergeCell ref="F13:I13"/>
  </mergeCells>
  <conditionalFormatting sqref="I8">
    <cfRule type="expression" dxfId="1" priority="2">
      <formula>IF(AND($I$6&gt;=DATEVALUE("01/01/2023"),$I$6&lt;=DATEVALUE("10/03/2023")),TRUE,FALSE)</formula>
    </cfRule>
  </conditionalFormatting>
  <conditionalFormatting sqref="I10:I12">
    <cfRule type="expression" dxfId="0" priority="1">
      <formula>IF(AND($I$6&gt;=DATEVALUE("01/01/2023"),$I$6&lt;=DATEVALUE("10/03/2023")),TRUE,FALSE)</formula>
    </cfRule>
  </conditionalFormatting>
  <dataValidations count="3">
    <dataValidation type="date" allowBlank="1" showInputMessage="1" showErrorMessage="1" error="Vous devez impérativement saisir une date de début d'activité entre le 1er janvier et le 31 décembre 2021" sqref="I7" xr:uid="{997CA14A-CA41-401B-B82B-53AFB20EB076}">
      <formula1>44197</formula1>
      <formula2>44561</formula2>
    </dataValidation>
    <dataValidation type="date" allowBlank="1" showInputMessage="1" showErrorMessage="1" error="La date de début de votre congé maternité doit être entre le 01/01/2023 et le 31/12/2023" sqref="I6" xr:uid="{82440673-3ACB-4627-B24A-FCB9DEBFAFCE}">
      <formula1>44927</formula1>
      <formula2>45291</formula2>
    </dataValidation>
    <dataValidation type="list" allowBlank="1" showInputMessage="1" showErrorMessage="1" sqref="F20:F21" xr:uid="{0795C807-DDF2-4A97-AED4-0D8C8FF61DD5}">
      <formula1>"Mensuelle,Trimestrielle"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0B04B-E609-407F-B4CC-597679746708}">
  <dimension ref="E1:T43"/>
  <sheetViews>
    <sheetView showGridLines="0" showRowColHeaders="0" zoomScaleNormal="100" workbookViewId="0">
      <selection activeCell="H6" sqref="H6"/>
    </sheetView>
  </sheetViews>
  <sheetFormatPr baseColWidth="10" defaultColWidth="11.42578125" defaultRowHeight="15" x14ac:dyDescent="0.25"/>
  <cols>
    <col min="1" max="4" width="11.42578125" style="2"/>
    <col min="5" max="5" width="17.7109375" style="2" customWidth="1"/>
    <col min="6" max="8" width="22.5703125" style="2" customWidth="1"/>
    <col min="9" max="9" width="15.7109375" style="2" customWidth="1"/>
    <col min="10" max="13" width="11.42578125" style="2"/>
    <col min="14" max="14" width="16" style="2" hidden="1" customWidth="1"/>
    <col min="15" max="15" width="17" style="2" hidden="1" customWidth="1"/>
    <col min="16" max="16" width="18.42578125" style="2" hidden="1" customWidth="1"/>
    <col min="17" max="18" width="15.28515625" style="2" hidden="1" customWidth="1"/>
    <col min="19" max="19" width="17" style="2" hidden="1" customWidth="1"/>
    <col min="20" max="16384" width="11.42578125" style="2"/>
  </cols>
  <sheetData>
    <row r="1" spans="5:19" ht="6.75" customHeight="1" x14ac:dyDescent="0.25"/>
    <row r="2" spans="5:19" ht="8.25" customHeight="1" x14ac:dyDescent="0.25"/>
    <row r="5" spans="5:19" x14ac:dyDescent="0.25">
      <c r="O5" s="4"/>
      <c r="P5" s="4"/>
      <c r="Q5" s="4"/>
    </row>
    <row r="6" spans="5:19" ht="18.95" customHeight="1" x14ac:dyDescent="0.25">
      <c r="E6" s="8" t="s">
        <v>22</v>
      </c>
      <c r="H6" s="61">
        <v>44996</v>
      </c>
      <c r="O6" s="4"/>
      <c r="P6" s="4"/>
      <c r="Q6" s="4"/>
    </row>
    <row r="7" spans="5:19" ht="18.95" customHeight="1" x14ac:dyDescent="0.25">
      <c r="E7" s="8" t="s">
        <v>28</v>
      </c>
      <c r="H7" s="62">
        <v>45046</v>
      </c>
      <c r="O7" s="4"/>
      <c r="P7" s="4"/>
      <c r="Q7" s="4"/>
    </row>
    <row r="8" spans="5:19" ht="18.95" customHeight="1" x14ac:dyDescent="0.25">
      <c r="E8" s="8"/>
      <c r="H8" s="63" t="str">
        <f>IF(Q19="oui","Droits ouverts","Droits non ouverts")</f>
        <v>Droits ouverts</v>
      </c>
      <c r="O8" s="4"/>
      <c r="P8" s="4">
        <v>2022</v>
      </c>
      <c r="Q8" s="4">
        <v>2023</v>
      </c>
    </row>
    <row r="9" spans="5:19" ht="19.5" customHeight="1" x14ac:dyDescent="0.25">
      <c r="E9" s="8" t="s">
        <v>26</v>
      </c>
      <c r="H9" s="64">
        <v>44563</v>
      </c>
      <c r="I9" s="9"/>
      <c r="N9" s="2" t="s">
        <v>1</v>
      </c>
      <c r="O9" s="11"/>
      <c r="P9" s="11">
        <f>G12-(G12*71%)</f>
        <v>0</v>
      </c>
      <c r="Q9" s="11">
        <f>H12-(H12*71%)</f>
        <v>0</v>
      </c>
    </row>
    <row r="10" spans="5:19" ht="21.75" customHeight="1" x14ac:dyDescent="0.25">
      <c r="E10" s="3"/>
      <c r="F10" s="4"/>
      <c r="G10" s="55">
        <v>2022</v>
      </c>
      <c r="H10" s="55">
        <v>2023</v>
      </c>
      <c r="N10" s="2" t="s">
        <v>6</v>
      </c>
      <c r="O10" s="11"/>
      <c r="P10" s="11">
        <f>G13-(G13*50%)</f>
        <v>0</v>
      </c>
      <c r="Q10" s="11">
        <f>H13-(H13*50%)</f>
        <v>0</v>
      </c>
    </row>
    <row r="11" spans="5:19" ht="21" customHeight="1" x14ac:dyDescent="0.25">
      <c r="E11" s="50" t="s">
        <v>8</v>
      </c>
      <c r="F11" s="51"/>
      <c r="G11" s="51"/>
      <c r="H11" s="52"/>
      <c r="N11" s="2" t="s">
        <v>3</v>
      </c>
      <c r="O11" s="11"/>
      <c r="P11" s="11">
        <f>G14-(G14*34%)</f>
        <v>0</v>
      </c>
      <c r="Q11" s="11">
        <f>H14-(H14*34%)</f>
        <v>0</v>
      </c>
    </row>
    <row r="12" spans="5:19" ht="15.95" customHeight="1" x14ac:dyDescent="0.25">
      <c r="E12" s="6" t="s">
        <v>1</v>
      </c>
      <c r="F12" s="27"/>
      <c r="G12" s="34">
        <v>0</v>
      </c>
      <c r="H12" s="34">
        <v>0</v>
      </c>
      <c r="N12" s="2" t="s">
        <v>7</v>
      </c>
      <c r="O12" s="11"/>
      <c r="P12" s="11">
        <f t="shared" ref="P12:Q12" si="0">SUM(P9:P11)</f>
        <v>0</v>
      </c>
      <c r="Q12" s="11">
        <f t="shared" si="0"/>
        <v>0</v>
      </c>
    </row>
    <row r="13" spans="5:19" ht="15.95" customHeight="1" x14ac:dyDescent="0.25">
      <c r="E13" s="7" t="s">
        <v>2</v>
      </c>
      <c r="F13" s="28"/>
      <c r="G13" s="36">
        <v>0</v>
      </c>
      <c r="H13" s="37">
        <v>0</v>
      </c>
      <c r="N13" s="2" t="s">
        <v>21</v>
      </c>
      <c r="O13" s="22"/>
      <c r="P13" s="10">
        <v>44926</v>
      </c>
      <c r="Q13" s="25">
        <f>DATEDIF(H9,P13,"d")</f>
        <v>363</v>
      </c>
    </row>
    <row r="14" spans="5:19" ht="15.95" customHeight="1" x14ac:dyDescent="0.25">
      <c r="E14" s="7" t="s">
        <v>3</v>
      </c>
      <c r="F14" s="29"/>
      <c r="G14" s="39">
        <v>0</v>
      </c>
      <c r="H14" s="40">
        <v>0</v>
      </c>
      <c r="P14" s="10">
        <f>H6</f>
        <v>44996</v>
      </c>
      <c r="Q14" s="10">
        <f>IF(AND(H6&gt;=DATEVALUE("01/01/2023"),H6&lt;=DATEVALUE("10/03/2023")),0,DATE(YEAR(H6),MONTH(H6)-1,1)-1)</f>
        <v>44957</v>
      </c>
      <c r="R14" s="10">
        <f>DATE(YEAR(H6),1,1)</f>
        <v>44927</v>
      </c>
      <c r="S14" s="26">
        <f>IF(Q14&gt;=DATEVALUE("31/01/2023"),DATEDIF(R14,Q14,"d"),0)</f>
        <v>30</v>
      </c>
    </row>
    <row r="15" spans="5:19" ht="50.25" customHeight="1" x14ac:dyDescent="0.25">
      <c r="E15" s="54" t="str">
        <f>IF(AND(H6&gt;=DATEVALUE("01/01/2023"),H6&lt;=DATEVALUE("10/02/2023")),"En 2022, vous ne devez prendre en compte que votre CA de janvier à novembre en mensuel ou de janvier à septembre en trimestriel - Pensez à sélectionner la périodicité de déclaration de CA en dessous.","")</f>
        <v/>
      </c>
      <c r="F15" s="54"/>
      <c r="G15" s="54"/>
      <c r="H15" s="54"/>
      <c r="N15" s="2" t="s">
        <v>23</v>
      </c>
      <c r="P15" s="19">
        <f>(P12+Q12)/2</f>
        <v>0</v>
      </c>
      <c r="Q15" s="2" t="s">
        <v>27</v>
      </c>
    </row>
    <row r="16" spans="5:19" x14ac:dyDescent="0.25">
      <c r="N16" s="2" t="s">
        <v>24</v>
      </c>
      <c r="P16" s="19">
        <f>IF(AND(H6&gt;=DATEVALUE("01/01/2023"),H6&lt;=DATEVALUE("10/03/2023")),H22,(H22+H23)/2)</f>
        <v>0</v>
      </c>
      <c r="Q16" s="10">
        <f>EDATE(H9,10)</f>
        <v>44867</v>
      </c>
    </row>
    <row r="17" spans="5:19" x14ac:dyDescent="0.25">
      <c r="N17" s="2" t="s">
        <v>15</v>
      </c>
      <c r="P17" s="20">
        <v>4113.2</v>
      </c>
      <c r="Q17" s="26" t="s">
        <v>29</v>
      </c>
    </row>
    <row r="18" spans="5:19" x14ac:dyDescent="0.25">
      <c r="N18" s="2" t="s">
        <v>16</v>
      </c>
      <c r="P18" s="20">
        <v>6.03</v>
      </c>
      <c r="Q18" s="10">
        <f>H7</f>
        <v>45046</v>
      </c>
    </row>
    <row r="19" spans="5:19" ht="6" customHeight="1" x14ac:dyDescent="0.25">
      <c r="N19" s="2" t="s">
        <v>17</v>
      </c>
      <c r="P19" s="20">
        <v>60.26</v>
      </c>
      <c r="Q19" s="26" t="str">
        <f>IF(Q18&gt;=Q16,"oui","non")</f>
        <v>oui</v>
      </c>
    </row>
    <row r="20" spans="5:19" x14ac:dyDescent="0.25">
      <c r="E20" s="60" t="s">
        <v>34</v>
      </c>
      <c r="F20" s="12" t="s">
        <v>9</v>
      </c>
      <c r="G20" s="12" t="s">
        <v>10</v>
      </c>
      <c r="H20" s="12" t="s">
        <v>11</v>
      </c>
      <c r="N20" s="2" t="s">
        <v>18</v>
      </c>
      <c r="P20" s="20">
        <v>366.6</v>
      </c>
    </row>
    <row r="21" spans="5:19" x14ac:dyDescent="0.25">
      <c r="E21" s="60"/>
      <c r="F21" s="30"/>
      <c r="G21" s="31"/>
      <c r="H21" s="32"/>
      <c r="N21" s="2" t="s">
        <v>18</v>
      </c>
      <c r="P21" s="20">
        <v>3666</v>
      </c>
    </row>
    <row r="22" spans="5:19" x14ac:dyDescent="0.25">
      <c r="E22" s="70" t="s">
        <v>35</v>
      </c>
      <c r="F22" s="12">
        <v>2022</v>
      </c>
      <c r="G22" s="14">
        <f>IF(AND(AND(H6&gt;=DATEVALUE("01/01/2023"),H6&lt;=DATEVALUE("10/02/2023"),E22="Mensuelle")),R22-30,IF(AND(AND(H6&gt;=DATEVALUE("01/01/2023"),H6&lt;=DATEVALUE("10/02/2023"),E22="Trimestrielle")),R22-90,R22))</f>
        <v>363</v>
      </c>
      <c r="H22" s="17">
        <f>(P12/G22)*365</f>
        <v>0</v>
      </c>
      <c r="P22" s="10">
        <f>H9</f>
        <v>44563</v>
      </c>
      <c r="Q22" s="10">
        <v>44926</v>
      </c>
      <c r="R22" s="26">
        <f>DATEDIF(P22,Q22,"d")</f>
        <v>363</v>
      </c>
      <c r="S22" s="33"/>
    </row>
    <row r="23" spans="5:19" x14ac:dyDescent="0.25">
      <c r="E23" s="70"/>
      <c r="F23" s="12">
        <v>2023</v>
      </c>
      <c r="G23" s="15">
        <f>S14</f>
        <v>30</v>
      </c>
      <c r="H23" s="18">
        <f>IF(S14=0,0,(Q12/G23)*365)</f>
        <v>0</v>
      </c>
      <c r="N23" s="56" t="s">
        <v>32</v>
      </c>
      <c r="O23" s="56"/>
      <c r="P23" s="56"/>
      <c r="Q23" s="56"/>
    </row>
    <row r="24" spans="5:19" x14ac:dyDescent="0.25">
      <c r="N24" s="58">
        <f>H6</f>
        <v>44996</v>
      </c>
      <c r="O24" s="10">
        <f>DATE(YEAR(H6),MONTH(H6)-1,1)-1</f>
        <v>44957</v>
      </c>
      <c r="P24" s="10">
        <f>DATE(YEAR(H6),1,1)</f>
        <v>44927</v>
      </c>
      <c r="Q24" s="59"/>
    </row>
    <row r="25" spans="5:19" x14ac:dyDescent="0.25">
      <c r="N25" s="56" t="s">
        <v>33</v>
      </c>
      <c r="O25" s="56"/>
      <c r="P25" s="56"/>
      <c r="Q25" s="56"/>
      <c r="R25" s="57"/>
    </row>
    <row r="26" spans="5:19" ht="20.45" customHeight="1" x14ac:dyDescent="0.25"/>
    <row r="27" spans="5:19" ht="19.5" customHeight="1" x14ac:dyDescent="0.25">
      <c r="F27" s="49" t="s">
        <v>5</v>
      </c>
      <c r="G27" s="49"/>
      <c r="H27" s="5">
        <f>P16</f>
        <v>0</v>
      </c>
    </row>
    <row r="28" spans="5:19" ht="7.5" customHeight="1" x14ac:dyDescent="0.25"/>
    <row r="31" spans="5:19" ht="8.25" customHeight="1" x14ac:dyDescent="0.25"/>
    <row r="32" spans="5:19" ht="19.5" customHeight="1" x14ac:dyDescent="0.25">
      <c r="E32" s="53" t="s">
        <v>19</v>
      </c>
      <c r="F32" s="53"/>
      <c r="G32" s="53"/>
      <c r="H32" s="21">
        <f>IF(H27=0,0,IF(H27&lt;P17,P18,IF(H27&gt;=P17,P19,0)))</f>
        <v>0</v>
      </c>
    </row>
    <row r="33" spans="5:20" ht="19.5" customHeight="1" x14ac:dyDescent="0.25">
      <c r="E33" s="53" t="s">
        <v>20</v>
      </c>
      <c r="F33" s="53"/>
      <c r="G33" s="53"/>
      <c r="H33" s="21">
        <f>IF(H27=0,0,IF(H27&lt;P17,P20,IF(H27&gt;=P17,P21,0)))</f>
        <v>0</v>
      </c>
    </row>
    <row r="43" spans="5:20" x14ac:dyDescent="0.25">
      <c r="T43" s="2" t="b">
        <v>1</v>
      </c>
    </row>
  </sheetData>
  <sheetProtection sheet="1" objects="1" scenarios="1" selectLockedCells="1"/>
  <mergeCells count="9">
    <mergeCell ref="N23:Q23"/>
    <mergeCell ref="N25:Q25"/>
    <mergeCell ref="E20:E21"/>
    <mergeCell ref="E22:E23"/>
    <mergeCell ref="E11:H11"/>
    <mergeCell ref="F27:G27"/>
    <mergeCell ref="E32:G32"/>
    <mergeCell ref="E33:G33"/>
    <mergeCell ref="E15:H15"/>
  </mergeCells>
  <conditionalFormatting sqref="H8">
    <cfRule type="expression" dxfId="7" priority="11">
      <formula>IF($Q$19="non",TRUE,FALSE)</formula>
    </cfRule>
    <cfRule type="expression" dxfId="6" priority="12">
      <formula>IF($Q$19="oui",TRUE,FALSE)</formula>
    </cfRule>
  </conditionalFormatting>
  <conditionalFormatting sqref="H10">
    <cfRule type="expression" dxfId="5" priority="5">
      <formula>IF(AND($H$6&gt;=DATEVALUE("01/01/2023"),$H$6&lt;=DATEVALUE("10/03/2023")),TRUE,FALSE)</formula>
    </cfRule>
  </conditionalFormatting>
  <conditionalFormatting sqref="H12:H14">
    <cfRule type="expression" dxfId="4" priority="3">
      <formula>IF(AND(H6&gt;=DATEVALUE("01/01/2023"),H6&lt;=DATEVALUE("10/03/2023")),TRUE,FALSE)</formula>
    </cfRule>
  </conditionalFormatting>
  <conditionalFormatting sqref="H13:H14">
    <cfRule type="expression" dxfId="3" priority="2">
      <formula>IF(AND(H6&gt;=DATEVALUE("01/01/2023"),H6&lt;=DATEVALUE("10/03/2023")),TRUE,FALSE)</formula>
    </cfRule>
  </conditionalFormatting>
  <conditionalFormatting sqref="H14">
    <cfRule type="expression" dxfId="2" priority="1">
      <formula>IF(AND(H6&gt;=DATEVALUE("01/01/2023"),H6&lt;=DATEVALUE("10/03/2023")),TRUE,FALSE)</formula>
    </cfRule>
  </conditionalFormatting>
  <dataValidations count="4">
    <dataValidation type="date" allowBlank="1" showInputMessage="1" showErrorMessage="1" error="La date de début de votre congé maternité doit être entre le 01/01/2023 et le 31/12/2023" sqref="H6" xr:uid="{75D9D3ED-1F13-49E4-9A72-D33C2E2AD618}">
      <formula1>44927</formula1>
      <formula2>45291</formula2>
    </dataValidation>
    <dataValidation type="date" allowBlank="1" showInputMessage="1" showErrorMessage="1" error="Vous devez impérativement saisir une date de début d'activité entre le 1er janvier et le 31 décembre 2022" sqref="H9" xr:uid="{489E5A0B-5FB3-48BC-B377-EA6ECB955632}">
      <formula1>44562</formula1>
      <formula2>44926</formula2>
    </dataValidation>
    <dataValidation type="date" allowBlank="1" showInputMessage="1" showErrorMessage="1" error="La date probable d'accouchement doit être entre le 01/01/2023 et le 31/12/2023" sqref="H7" xr:uid="{20587455-C178-457D-AB11-2A1D18131D98}">
      <formula1>44927</formula1>
      <formula2>45291</formula2>
    </dataValidation>
    <dataValidation type="list" allowBlank="1" showInputMessage="1" showErrorMessage="1" sqref="E22:E23" xr:uid="{BB027029-28F6-4CE8-BA60-D577B6DEC151}">
      <formula1>"Mensuelle,Trimestrielle"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MATTEI</dc:creator>
  <cp:lastModifiedBy>Éric MATTEI</cp:lastModifiedBy>
  <dcterms:created xsi:type="dcterms:W3CDTF">2023-01-12T15:44:15Z</dcterms:created>
  <dcterms:modified xsi:type="dcterms:W3CDTF">2023-01-24T10:31:15Z</dcterms:modified>
</cp:coreProperties>
</file>